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2" i="1"/>
  <c r="H8"/>
  <c r="H6"/>
  <c r="AF38"/>
  <c r="AG35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11"/>
  <c r="AF37"/>
  <c r="AU3"/>
  <c r="AU4" s="1"/>
  <c r="AU5" s="1"/>
  <c r="AU6" s="1"/>
  <c r="AU7" s="1"/>
  <c r="AU8" s="1"/>
  <c r="AU9" s="1"/>
  <c r="AU10" s="1"/>
  <c r="AU11" s="1"/>
  <c r="AU12" s="1"/>
  <c r="AU13" s="1"/>
  <c r="AU14" s="1"/>
  <c r="AU15" s="1"/>
  <c r="AU16" s="1"/>
  <c r="AU17" s="1"/>
  <c r="AU18" s="1"/>
  <c r="AU19" s="1"/>
  <c r="AU20" s="1"/>
  <c r="AU21" s="1"/>
  <c r="AU22" s="1"/>
  <c r="AU23" s="1"/>
  <c r="AU24" s="1"/>
  <c r="AU25" s="1"/>
  <c r="AU26" s="1"/>
  <c r="AU27" s="1"/>
  <c r="AU28" s="1"/>
  <c r="AU29" s="1"/>
  <c r="AU30" s="1"/>
  <c r="AU31" s="1"/>
  <c r="AU32" s="1"/>
  <c r="AU33" s="1"/>
  <c r="AB13"/>
  <c r="AB14" s="1"/>
  <c r="AB15" s="1"/>
  <c r="AB12"/>
  <c r="AF4"/>
  <c r="AF5"/>
  <c r="AF6"/>
  <c r="AF7"/>
  <c r="AF8"/>
  <c r="AF9"/>
  <c r="AF10"/>
  <c r="AF3"/>
  <c r="J3"/>
  <c r="M3" s="1"/>
  <c r="E4"/>
  <c r="E5"/>
  <c r="E6"/>
  <c r="E7"/>
  <c r="Z7" s="1"/>
  <c r="E8"/>
  <c r="Z8" s="1"/>
  <c r="E9"/>
  <c r="Z9" s="1"/>
  <c r="E10"/>
  <c r="Z10" s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"/>
  <c r="C3"/>
  <c r="D3" s="1"/>
  <c r="B4"/>
  <c r="J4" s="1"/>
  <c r="M4" s="1"/>
  <c r="O3" l="1"/>
  <c r="F3"/>
  <c r="B5"/>
  <c r="C4"/>
  <c r="D4" s="1"/>
  <c r="AV5"/>
  <c r="AZ5" s="1"/>
  <c r="AV3"/>
  <c r="AZ3" s="1"/>
  <c r="AV4"/>
  <c r="AZ4" s="1"/>
  <c r="AB16"/>
  <c r="AB17" s="1"/>
  <c r="AB18" s="1"/>
  <c r="AB19" s="1"/>
  <c r="AB20" s="1"/>
  <c r="AB21" s="1"/>
  <c r="AB22" s="1"/>
  <c r="AB23" s="1"/>
  <c r="AB24" s="1"/>
  <c r="AI3" l="1"/>
  <c r="P3"/>
  <c r="B6"/>
  <c r="C5"/>
  <c r="D5" s="1"/>
  <c r="J5"/>
  <c r="O4"/>
  <c r="F4"/>
  <c r="AV6"/>
  <c r="AZ6" s="1"/>
  <c r="O5" l="1"/>
  <c r="AI5" s="1"/>
  <c r="F5"/>
  <c r="M5"/>
  <c r="P4"/>
  <c r="AI4"/>
  <c r="AM3"/>
  <c r="AO3"/>
  <c r="AQ3" s="1"/>
  <c r="V3"/>
  <c r="Y3" s="1"/>
  <c r="S3"/>
  <c r="B7"/>
  <c r="C6"/>
  <c r="D6" s="1"/>
  <c r="J6"/>
  <c r="AV7"/>
  <c r="AZ7" s="1"/>
  <c r="B8" l="1"/>
  <c r="J7"/>
  <c r="C7"/>
  <c r="D7" s="1"/>
  <c r="O6"/>
  <c r="AI6" s="1"/>
  <c r="F6"/>
  <c r="P5"/>
  <c r="AM5"/>
  <c r="AO5"/>
  <c r="AQ5" s="1"/>
  <c r="V4"/>
  <c r="Y4" s="1"/>
  <c r="S4"/>
  <c r="M6"/>
  <c r="AM4"/>
  <c r="AO4"/>
  <c r="AQ4" s="1"/>
  <c r="AV8"/>
  <c r="AZ8" s="1"/>
  <c r="O7" l="1"/>
  <c r="AI7" s="1"/>
  <c r="F7"/>
  <c r="AO6"/>
  <c r="AQ6" s="1"/>
  <c r="AM6"/>
  <c r="V5"/>
  <c r="Y5" s="1"/>
  <c r="S5"/>
  <c r="B9"/>
  <c r="J8"/>
  <c r="C8"/>
  <c r="D8" s="1"/>
  <c r="M7"/>
  <c r="P6"/>
  <c r="AV9"/>
  <c r="AZ9" s="1"/>
  <c r="AM7" l="1"/>
  <c r="AO7"/>
  <c r="AQ7" s="1"/>
  <c r="M8"/>
  <c r="V6"/>
  <c r="Y6" s="1"/>
  <c r="S6"/>
  <c r="B10"/>
  <c r="J9"/>
  <c r="C9"/>
  <c r="D9" s="1"/>
  <c r="O8"/>
  <c r="AI8" s="1"/>
  <c r="F8"/>
  <c r="P7"/>
  <c r="AV10"/>
  <c r="AZ10" s="1"/>
  <c r="P8" l="1"/>
  <c r="B11"/>
  <c r="J10"/>
  <c r="C10"/>
  <c r="D10" s="1"/>
  <c r="M9"/>
  <c r="O9"/>
  <c r="AI9" s="1"/>
  <c r="F9"/>
  <c r="V8"/>
  <c r="Y8" s="1"/>
  <c r="S8"/>
  <c r="AM8"/>
  <c r="AO8"/>
  <c r="AQ8" s="1"/>
  <c r="V7"/>
  <c r="Y7" s="1"/>
  <c r="S7"/>
  <c r="AV11"/>
  <c r="AZ11" s="1"/>
  <c r="B12" l="1"/>
  <c r="J11"/>
  <c r="C11"/>
  <c r="D11" s="1"/>
  <c r="M10"/>
  <c r="P9"/>
  <c r="O10"/>
  <c r="AI10" s="1"/>
  <c r="F10"/>
  <c r="AO9"/>
  <c r="AQ9" s="1"/>
  <c r="AM9"/>
  <c r="AV12"/>
  <c r="AZ12" s="1"/>
  <c r="AM10" l="1"/>
  <c r="AO10"/>
  <c r="AQ10" s="1"/>
  <c r="B13"/>
  <c r="C12"/>
  <c r="D12" s="1"/>
  <c r="J12"/>
  <c r="M11"/>
  <c r="P11"/>
  <c r="S11" s="1"/>
  <c r="U11"/>
  <c r="O11"/>
  <c r="F11"/>
  <c r="P10"/>
  <c r="S9"/>
  <c r="V9"/>
  <c r="Y9" s="1"/>
  <c r="AV13"/>
  <c r="AZ13" s="1"/>
  <c r="AI11" l="1"/>
  <c r="AM11" s="1"/>
  <c r="S10"/>
  <c r="V10"/>
  <c r="Y10" s="1"/>
  <c r="B14"/>
  <c r="C13"/>
  <c r="D13" s="1"/>
  <c r="J13"/>
  <c r="F12"/>
  <c r="U12"/>
  <c r="O12"/>
  <c r="P12" s="1"/>
  <c r="M12"/>
  <c r="V11"/>
  <c r="Z11"/>
  <c r="AV14"/>
  <c r="AZ14" s="1"/>
  <c r="AC11" l="1"/>
  <c r="AF11" s="1"/>
  <c r="AO11" s="1"/>
  <c r="AQ11" s="1"/>
  <c r="Y11"/>
  <c r="M13"/>
  <c r="AI12"/>
  <c r="Z12"/>
  <c r="O13"/>
  <c r="P13" s="1"/>
  <c r="S13" s="1"/>
  <c r="U13"/>
  <c r="F13"/>
  <c r="B15"/>
  <c r="J14"/>
  <c r="C14"/>
  <c r="D14" s="1"/>
  <c r="S12"/>
  <c r="V12"/>
  <c r="AV15"/>
  <c r="AZ15" s="1"/>
  <c r="V13" l="1"/>
  <c r="Z13"/>
  <c r="B16"/>
  <c r="C15"/>
  <c r="D15" s="1"/>
  <c r="J15"/>
  <c r="M14"/>
  <c r="U14"/>
  <c r="O14"/>
  <c r="P14" s="1"/>
  <c r="S14" s="1"/>
  <c r="F14"/>
  <c r="AM12"/>
  <c r="Y12"/>
  <c r="AC12"/>
  <c r="AI13"/>
  <c r="AV16"/>
  <c r="AZ16" s="1"/>
  <c r="Y13" l="1"/>
  <c r="AC13"/>
  <c r="B17"/>
  <c r="J16"/>
  <c r="C16"/>
  <c r="D16" s="1"/>
  <c r="U15"/>
  <c r="O15"/>
  <c r="P15" s="1"/>
  <c r="F15"/>
  <c r="M15"/>
  <c r="AF12"/>
  <c r="AO12" s="1"/>
  <c r="AQ12" s="1"/>
  <c r="AD12"/>
  <c r="AM13"/>
  <c r="V14"/>
  <c r="Z14"/>
  <c r="AI14"/>
  <c r="AV17"/>
  <c r="AZ17" s="1"/>
  <c r="AM14" l="1"/>
  <c r="AF13"/>
  <c r="AO13" s="1"/>
  <c r="AQ13" s="1"/>
  <c r="AD13"/>
  <c r="B18"/>
  <c r="J17"/>
  <c r="C17"/>
  <c r="D17" s="1"/>
  <c r="M16"/>
  <c r="U16"/>
  <c r="O16"/>
  <c r="P16" s="1"/>
  <c r="S16" s="1"/>
  <c r="F16"/>
  <c r="S15"/>
  <c r="V15"/>
  <c r="AI15"/>
  <c r="Z15"/>
  <c r="Y14"/>
  <c r="AC14"/>
  <c r="AV18"/>
  <c r="AZ18" s="1"/>
  <c r="V16" l="1"/>
  <c r="Z16"/>
  <c r="B19"/>
  <c r="J18"/>
  <c r="C18"/>
  <c r="D18" s="1"/>
  <c r="Y15"/>
  <c r="AC15"/>
  <c r="O17"/>
  <c r="F17"/>
  <c r="U17"/>
  <c r="AI16"/>
  <c r="AD14"/>
  <c r="AF14"/>
  <c r="AO14" s="1"/>
  <c r="AQ14" s="1"/>
  <c r="M17"/>
  <c r="AM15"/>
  <c r="AV19"/>
  <c r="AZ19" s="1"/>
  <c r="AF15" l="1"/>
  <c r="AO15" s="1"/>
  <c r="AQ15" s="1"/>
  <c r="AD15"/>
  <c r="Y16"/>
  <c r="AC16"/>
  <c r="AI17"/>
  <c r="Z17"/>
  <c r="B20"/>
  <c r="J19"/>
  <c r="C19"/>
  <c r="D19" s="1"/>
  <c r="AM16"/>
  <c r="P18"/>
  <c r="M18"/>
  <c r="O18"/>
  <c r="AI18" s="1"/>
  <c r="F18"/>
  <c r="U18"/>
  <c r="Z18" s="1"/>
  <c r="P17"/>
  <c r="S17" s="1"/>
  <c r="AV20"/>
  <c r="AZ20" s="1"/>
  <c r="V17" l="1"/>
  <c r="AC17" s="1"/>
  <c r="AF16"/>
  <c r="AO16" s="1"/>
  <c r="AQ16" s="1"/>
  <c r="AD16"/>
  <c r="AM18"/>
  <c r="B21"/>
  <c r="C20"/>
  <c r="D20" s="1"/>
  <c r="J20"/>
  <c r="M19"/>
  <c r="F19"/>
  <c r="U19"/>
  <c r="O19"/>
  <c r="P19" s="1"/>
  <c r="S19" s="1"/>
  <c r="AM17"/>
  <c r="V18"/>
  <c r="S18"/>
  <c r="AV21"/>
  <c r="AZ21" s="1"/>
  <c r="Y17" l="1"/>
  <c r="V19"/>
  <c r="Z19"/>
  <c r="B22"/>
  <c r="C21"/>
  <c r="D21" s="1"/>
  <c r="J21"/>
  <c r="AD17"/>
  <c r="AF17"/>
  <c r="AO17" s="1"/>
  <c r="AQ17" s="1"/>
  <c r="Y18"/>
  <c r="AC18"/>
  <c r="O20"/>
  <c r="AI20" s="1"/>
  <c r="U20"/>
  <c r="Z20" s="1"/>
  <c r="F20"/>
  <c r="AI19"/>
  <c r="M20"/>
  <c r="AV22"/>
  <c r="AZ22" s="1"/>
  <c r="AD18" l="1"/>
  <c r="AF18"/>
  <c r="AO18" s="1"/>
  <c r="AQ18" s="1"/>
  <c r="B23"/>
  <c r="C22"/>
  <c r="D22" s="1"/>
  <c r="J22"/>
  <c r="M21"/>
  <c r="Y19"/>
  <c r="AC19"/>
  <c r="P20"/>
  <c r="AM19"/>
  <c r="F21"/>
  <c r="U21"/>
  <c r="O21"/>
  <c r="AM20"/>
  <c r="AV23"/>
  <c r="AZ23" s="1"/>
  <c r="V20" l="1"/>
  <c r="S20"/>
  <c r="B24"/>
  <c r="C23"/>
  <c r="D23" s="1"/>
  <c r="J23"/>
  <c r="U22"/>
  <c r="O22"/>
  <c r="P22" s="1"/>
  <c r="S22" s="1"/>
  <c r="F22"/>
  <c r="M22"/>
  <c r="Z21"/>
  <c r="AI21"/>
  <c r="P21"/>
  <c r="S21" s="1"/>
  <c r="AD19"/>
  <c r="AF19"/>
  <c r="AO19" s="1"/>
  <c r="AQ19" s="1"/>
  <c r="AV24"/>
  <c r="AZ24" s="1"/>
  <c r="V21" l="1"/>
  <c r="AC21" s="1"/>
  <c r="U23"/>
  <c r="Z23" s="1"/>
  <c r="O23"/>
  <c r="F23"/>
  <c r="M23"/>
  <c r="AM21"/>
  <c r="V22"/>
  <c r="Z22"/>
  <c r="Y20"/>
  <c r="AC20"/>
  <c r="AI22"/>
  <c r="B25"/>
  <c r="C24"/>
  <c r="D24" s="1"/>
  <c r="J24"/>
  <c r="AV25"/>
  <c r="AZ25" s="1"/>
  <c r="Y21" l="1"/>
  <c r="Y22"/>
  <c r="AC22"/>
  <c r="AD21"/>
  <c r="AF21"/>
  <c r="AO21" s="1"/>
  <c r="AQ21" s="1"/>
  <c r="AD20"/>
  <c r="AF20"/>
  <c r="AO20" s="1"/>
  <c r="AQ20" s="1"/>
  <c r="AM22"/>
  <c r="B26"/>
  <c r="J25"/>
  <c r="C25"/>
  <c r="D25" s="1"/>
  <c r="U24"/>
  <c r="O24"/>
  <c r="F24"/>
  <c r="M24"/>
  <c r="AI23"/>
  <c r="P23"/>
  <c r="AV26"/>
  <c r="AZ26" s="1"/>
  <c r="B27" l="1"/>
  <c r="J26"/>
  <c r="C26"/>
  <c r="D26" s="1"/>
  <c r="AM23"/>
  <c r="Z24"/>
  <c r="M25"/>
  <c r="V23"/>
  <c r="S23"/>
  <c r="AI24"/>
  <c r="AD22"/>
  <c r="AF22"/>
  <c r="AO22" s="1"/>
  <c r="AQ22" s="1"/>
  <c r="O25"/>
  <c r="F25"/>
  <c r="U25"/>
  <c r="P24"/>
  <c r="S24" s="1"/>
  <c r="AV27"/>
  <c r="AZ27" s="1"/>
  <c r="AI25" l="1"/>
  <c r="AM25" s="1"/>
  <c r="Y23"/>
  <c r="AC23"/>
  <c r="M26"/>
  <c r="P26"/>
  <c r="O26"/>
  <c r="F26"/>
  <c r="U26"/>
  <c r="AM24"/>
  <c r="Z25"/>
  <c r="B28"/>
  <c r="J27"/>
  <c r="C27"/>
  <c r="D27" s="1"/>
  <c r="V24"/>
  <c r="P25"/>
  <c r="S25" s="1"/>
  <c r="AV28"/>
  <c r="AZ28" s="1"/>
  <c r="Y24" l="1"/>
  <c r="AC24"/>
  <c r="AD23"/>
  <c r="AF23"/>
  <c r="AO23" s="1"/>
  <c r="AQ23" s="1"/>
  <c r="V26"/>
  <c r="S26"/>
  <c r="B29"/>
  <c r="C28"/>
  <c r="D28" s="1"/>
  <c r="J28"/>
  <c r="M27"/>
  <c r="AI26"/>
  <c r="Z26"/>
  <c r="O27"/>
  <c r="AI27" s="1"/>
  <c r="U27"/>
  <c r="F27"/>
  <c r="V25"/>
  <c r="AV29"/>
  <c r="AZ29" s="1"/>
  <c r="P27" l="1"/>
  <c r="S27" s="1"/>
  <c r="AD24"/>
  <c r="AF24"/>
  <c r="AO24" s="1"/>
  <c r="AQ24" s="1"/>
  <c r="AM26"/>
  <c r="Y26"/>
  <c r="AC26"/>
  <c r="AM27"/>
  <c r="V27"/>
  <c r="Z27"/>
  <c r="B30"/>
  <c r="C29"/>
  <c r="D29" s="1"/>
  <c r="J29"/>
  <c r="O28"/>
  <c r="P28" s="1"/>
  <c r="F28"/>
  <c r="U28"/>
  <c r="Y25"/>
  <c r="AC25"/>
  <c r="M28"/>
  <c r="AV30"/>
  <c r="AZ30" s="1"/>
  <c r="Y27" l="1"/>
  <c r="AC27"/>
  <c r="AF25"/>
  <c r="AO25" s="1"/>
  <c r="AQ25" s="1"/>
  <c r="AD25"/>
  <c r="B31"/>
  <c r="J30"/>
  <c r="C30"/>
  <c r="D30" s="1"/>
  <c r="AI28"/>
  <c r="Z28"/>
  <c r="U29"/>
  <c r="O29"/>
  <c r="F29"/>
  <c r="V28"/>
  <c r="S28"/>
  <c r="M29"/>
  <c r="AD26"/>
  <c r="AF26"/>
  <c r="AO26" s="1"/>
  <c r="AQ26" s="1"/>
  <c r="AV31"/>
  <c r="AZ31" s="1"/>
  <c r="AI29" l="1"/>
  <c r="AM29" s="1"/>
  <c r="B32"/>
  <c r="C31"/>
  <c r="D31" s="1"/>
  <c r="J31"/>
  <c r="AM28"/>
  <c r="AF27"/>
  <c r="AO27" s="1"/>
  <c r="AQ27" s="1"/>
  <c r="AD27"/>
  <c r="Z29"/>
  <c r="P29"/>
  <c r="S29" s="1"/>
  <c r="M30"/>
  <c r="U30"/>
  <c r="O30"/>
  <c r="F30"/>
  <c r="Y28"/>
  <c r="AC28"/>
  <c r="AV33"/>
  <c r="AZ33" s="1"/>
  <c r="AV32"/>
  <c r="AZ32" s="1"/>
  <c r="AI30" l="1"/>
  <c r="V29"/>
  <c r="AC29" s="1"/>
  <c r="B33"/>
  <c r="J32"/>
  <c r="C32"/>
  <c r="D32" s="1"/>
  <c r="AM30"/>
  <c r="U31"/>
  <c r="O31"/>
  <c r="P31" s="1"/>
  <c r="F31"/>
  <c r="P30"/>
  <c r="S30" s="1"/>
  <c r="AD28"/>
  <c r="AF28"/>
  <c r="AO28" s="1"/>
  <c r="AQ28" s="1"/>
  <c r="M31"/>
  <c r="Z30"/>
  <c r="Y29" l="1"/>
  <c r="V30"/>
  <c r="S31"/>
  <c r="V31"/>
  <c r="U32"/>
  <c r="O32"/>
  <c r="F32"/>
  <c r="Y30"/>
  <c r="AC30"/>
  <c r="J33"/>
  <c r="C33"/>
  <c r="D33" s="1"/>
  <c r="P32"/>
  <c r="S32" s="1"/>
  <c r="M32"/>
  <c r="AF29"/>
  <c r="AO29" s="1"/>
  <c r="AQ29" s="1"/>
  <c r="AD29"/>
  <c r="AI31"/>
  <c r="Z31"/>
  <c r="V32" l="1"/>
  <c r="Z32"/>
  <c r="AM31"/>
  <c r="AD30"/>
  <c r="AF30"/>
  <c r="AO30" s="1"/>
  <c r="AQ30" s="1"/>
  <c r="AI32"/>
  <c r="O33"/>
  <c r="P33" s="1"/>
  <c r="S33" s="1"/>
  <c r="S35" s="1"/>
  <c r="F33"/>
  <c r="U33"/>
  <c r="Y31"/>
  <c r="AC31"/>
  <c r="M33"/>
  <c r="M35" s="1"/>
  <c r="Y32" l="1"/>
  <c r="AC32"/>
  <c r="V33"/>
  <c r="Z33"/>
  <c r="Z35" s="1"/>
  <c r="AM32"/>
  <c r="S36"/>
  <c r="H4"/>
  <c r="F35"/>
  <c r="AD31"/>
  <c r="AF31"/>
  <c r="AO31" s="1"/>
  <c r="AQ31" s="1"/>
  <c r="AI33"/>
  <c r="AT3" l="1"/>
  <c r="AW3" s="1"/>
  <c r="AX3" s="1"/>
  <c r="AY3" s="1"/>
  <c r="AD32"/>
  <c r="AF32"/>
  <c r="Y33"/>
  <c r="Y35" s="1"/>
  <c r="Y36" s="1"/>
  <c r="AC33"/>
  <c r="AM33"/>
  <c r="AT4" l="1"/>
  <c r="AW4" s="1"/>
  <c r="AX4" s="1"/>
  <c r="AT5" s="1"/>
  <c r="AW5" s="1"/>
  <c r="AX5" s="1"/>
  <c r="AF35"/>
  <c r="AF36" s="1"/>
  <c r="AO32"/>
  <c r="AQ32" s="1"/>
  <c r="AD33"/>
  <c r="AF33"/>
  <c r="AO33" s="1"/>
  <c r="AQ33" s="1"/>
  <c r="AY4" l="1"/>
  <c r="AT6"/>
  <c r="AW6" s="1"/>
  <c r="AX6" s="1"/>
  <c r="AY5"/>
  <c r="AY6" l="1"/>
  <c r="AT7"/>
  <c r="AW7" s="1"/>
  <c r="AX7" s="1"/>
  <c r="AT8" l="1"/>
  <c r="AW8" s="1"/>
  <c r="AX8" s="1"/>
  <c r="AY7"/>
  <c r="AY8" l="1"/>
  <c r="AT9"/>
  <c r="AW9" s="1"/>
  <c r="AX9" s="1"/>
  <c r="AT10" l="1"/>
  <c r="AW10" s="1"/>
  <c r="AX10" s="1"/>
  <c r="AY9"/>
  <c r="AY10" l="1"/>
  <c r="AT11"/>
  <c r="AW11" s="1"/>
  <c r="AX11" s="1"/>
  <c r="AT12" l="1"/>
  <c r="AW12" s="1"/>
  <c r="AX12" s="1"/>
  <c r="AY11"/>
  <c r="AY12" l="1"/>
  <c r="AT13"/>
  <c r="AW13" s="1"/>
  <c r="AX13" s="1"/>
  <c r="AY13" l="1"/>
  <c r="AT14"/>
  <c r="AW14" s="1"/>
  <c r="AX14" s="1"/>
  <c r="AY14" l="1"/>
  <c r="AT15"/>
  <c r="AW15" s="1"/>
  <c r="AX15" s="1"/>
  <c r="AY15" l="1"/>
  <c r="AT16"/>
  <c r="AW16" s="1"/>
  <c r="AX16" s="1"/>
  <c r="AT17" l="1"/>
  <c r="AW17" s="1"/>
  <c r="AX17" s="1"/>
  <c r="AY16"/>
  <c r="AY17" l="1"/>
  <c r="AT18"/>
  <c r="AW18" s="1"/>
  <c r="AX18" s="1"/>
  <c r="AY18" l="1"/>
  <c r="AT19"/>
  <c r="AW19" s="1"/>
  <c r="AX19" s="1"/>
  <c r="AY19" l="1"/>
  <c r="AT20"/>
  <c r="AW20" s="1"/>
  <c r="AX20" s="1"/>
  <c r="AT21" l="1"/>
  <c r="AW21" s="1"/>
  <c r="AX21" s="1"/>
  <c r="AY20"/>
  <c r="AY21" l="1"/>
  <c r="AT22"/>
  <c r="AW22" s="1"/>
  <c r="AX22" s="1"/>
  <c r="AT23" l="1"/>
  <c r="AW23" s="1"/>
  <c r="AX23" s="1"/>
  <c r="AY22"/>
  <c r="AT24" l="1"/>
  <c r="AW24" s="1"/>
  <c r="AX24" s="1"/>
  <c r="AY23"/>
  <c r="AT25" l="1"/>
  <c r="AW25" s="1"/>
  <c r="AX25" s="1"/>
  <c r="AY24"/>
  <c r="AY25" l="1"/>
  <c r="AT26"/>
  <c r="AW26" s="1"/>
  <c r="AX26" s="1"/>
  <c r="AY26" l="1"/>
  <c r="AT27"/>
  <c r="AW27" s="1"/>
  <c r="AX27" s="1"/>
  <c r="AY27" l="1"/>
  <c r="AT28"/>
  <c r="AW28" s="1"/>
  <c r="AX28" s="1"/>
  <c r="AT29" l="1"/>
  <c r="AW29" s="1"/>
  <c r="AX29" s="1"/>
  <c r="AY28"/>
  <c r="AT30" l="1"/>
  <c r="AW30" s="1"/>
  <c r="AX30" s="1"/>
  <c r="AY29"/>
  <c r="AT31" l="1"/>
  <c r="AW31" s="1"/>
  <c r="AX31" s="1"/>
  <c r="AY30"/>
  <c r="AY31" l="1"/>
  <c r="AT32"/>
  <c r="AW32" s="1"/>
  <c r="AX32" s="1"/>
  <c r="AY32" l="1"/>
  <c r="AT33"/>
  <c r="AW33" s="1"/>
  <c r="AX33" s="1"/>
  <c r="AY33" s="1"/>
</calcChain>
</file>

<file path=xl/sharedStrings.xml><?xml version="1.0" encoding="utf-8"?>
<sst xmlns="http://schemas.openxmlformats.org/spreadsheetml/2006/main" count="54" uniqueCount="47">
  <si>
    <t>ลงทุนต่อเดือน15%</t>
  </si>
  <si>
    <t>เงินเดือนขึ้นปีละ5%</t>
  </si>
  <si>
    <t>อายุ</t>
  </si>
  <si>
    <t>ต่อปีรวม</t>
  </si>
  <si>
    <t>ผลตอบแทนการลงทุน10%ทบต้น</t>
  </si>
  <si>
    <t>จำนวนปีที่ลงทุน(ปี)</t>
  </si>
  <si>
    <t>รวม</t>
  </si>
  <si>
    <t>รวมรายได้ทั้งปีหักค่าใช้จ่ายค่าลดหย่อน</t>
  </si>
  <si>
    <t>จ่ายภาษี</t>
  </si>
  <si>
    <t>ลงLTFสูงสุด</t>
  </si>
  <si>
    <t>หักออกจากรายได้เหลือ</t>
  </si>
  <si>
    <t>ภาษีหลังLTF</t>
  </si>
  <si>
    <t>ประหยัดไป</t>
  </si>
  <si>
    <t>ภาษีหลังRMF</t>
  </si>
  <si>
    <t>เบี้ยประกัน</t>
  </si>
  <si>
    <t>ภาษีหลังประกัน</t>
  </si>
  <si>
    <t>ซื้อLTF RMF ประกันแล้วเหลือใช้เดือนละ</t>
  </si>
  <si>
    <t>มูลค่า</t>
  </si>
  <si>
    <t>ผลตอบแทน</t>
  </si>
  <si>
    <t>เอาภาษีมากินเล่น</t>
  </si>
  <si>
    <t>หลังเกษียณ</t>
  </si>
  <si>
    <t>เงินต้น</t>
  </si>
  <si>
    <t>ถอนใช้ปีละ</t>
  </si>
  <si>
    <t>เหลือ</t>
  </si>
  <si>
    <t>ตกเดือนละ</t>
  </si>
  <si>
    <t>สิ้นปีโตเป็น</t>
  </si>
  <si>
    <t>คิดเป็นการโต</t>
  </si>
  <si>
    <t>มูลค่าจริงต่อเดือน</t>
  </si>
  <si>
    <t>ตารางแรก เงินเดือน เงินลงLTF และผลตอบแทน</t>
  </si>
  <si>
    <t>ตารางสอง หากไม่ลงทุนจ่ายภาษีเท่าไร</t>
  </si>
  <si>
    <t>ตารางสาม ลงแค่LTF เดือนละ15%ของรายรับ</t>
  </si>
  <si>
    <t>รวมภาษีจ่ายตั้งแต่เริ่มงานจนเกษียณ</t>
  </si>
  <si>
    <t>ลงRMFบ้าง</t>
  </si>
  <si>
    <t>ตารางสี่เอามาลงRMF เพื่อหักภาษี</t>
  </si>
  <si>
    <t>ตารางห้าเอาที่เหลือมาซื้อประกันเพื่อหักภาษี</t>
  </si>
  <si>
    <t>ตารางที่หกเงินเหลือใช้แต่ละเดือน</t>
  </si>
  <si>
    <t>ตารางเจ็ดเอาเงินคืนภาษีมาใช้จ่าย</t>
  </si>
  <si>
    <t>ตารางที่แปดการเงินหลังเกษียณ</t>
  </si>
  <si>
    <t>รวมเบี้ยประกันที่สะสมไว้ทั้งหมด</t>
  </si>
  <si>
    <t>หากอยู่จน85แล้วแก่ตายรับ</t>
  </si>
  <si>
    <t>หากไม่ตาย</t>
  </si>
  <si>
    <t>สิบล้านห้าจากLTF</t>
  </si>
  <si>
    <t>เจ็ดล้านสามจากRMF</t>
  </si>
  <si>
    <t>สองล้านจากประกัน</t>
  </si>
  <si>
    <t>รวมทั้งสิ้น</t>
  </si>
  <si>
    <t>เกือบ20ล้าน</t>
  </si>
  <si>
    <t>สรุปผลตอบแทน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</si>
</sst>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</numFmts>
  <fonts count="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87" fontId="0" fillId="2" borderId="0" xfId="1" applyNumberFormat="1" applyFont="1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87" fontId="0" fillId="0" borderId="4" xfId="1" applyNumberFormat="1" applyFont="1" applyBorder="1"/>
    <xf numFmtId="0" fontId="0" fillId="0" borderId="0" xfId="0" applyBorder="1"/>
    <xf numFmtId="188" fontId="2" fillId="0" borderId="5" xfId="1" applyNumberFormat="1" applyFont="1" applyBorder="1" applyAlignment="1">
      <alignment horizontal="center"/>
    </xf>
    <xf numFmtId="188" fontId="2" fillId="0" borderId="5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188" fontId="0" fillId="3" borderId="6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4" xfId="0" applyNumberFormat="1" applyBorder="1"/>
    <xf numFmtId="187" fontId="0" fillId="0" borderId="0" xfId="0" applyNumberFormat="1" applyBorder="1"/>
    <xf numFmtId="43" fontId="0" fillId="0" borderId="9" xfId="0" applyNumberFormat="1" applyBorder="1"/>
    <xf numFmtId="43" fontId="2" fillId="0" borderId="5" xfId="1" applyNumberFormat="1" applyFont="1" applyBorder="1" applyAlignment="1">
      <alignment horizontal="center"/>
    </xf>
    <xf numFmtId="43" fontId="0" fillId="0" borderId="6" xfId="0" applyNumberFormat="1" applyBorder="1"/>
    <xf numFmtId="43" fontId="0" fillId="3" borderId="6" xfId="0" applyNumberFormat="1" applyFill="1" applyBorder="1"/>
    <xf numFmtId="1" fontId="0" fillId="0" borderId="6" xfId="0" applyNumberFormat="1" applyBorder="1"/>
    <xf numFmtId="43" fontId="2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/>
    <xf numFmtId="187" fontId="2" fillId="0" borderId="0" xfId="1" applyNumberFormat="1" applyFont="1" applyBorder="1" applyAlignment="1">
      <alignment horizontal="center"/>
    </xf>
    <xf numFmtId="187" fontId="0" fillId="2" borderId="0" xfId="0" applyNumberFormat="1" applyFill="1" applyBorder="1"/>
    <xf numFmtId="43" fontId="0" fillId="0" borderId="0" xfId="0" applyNumberFormat="1"/>
    <xf numFmtId="187" fontId="0" fillId="0" borderId="0" xfId="1" applyNumberFormat="1" applyFont="1" applyBorder="1"/>
    <xf numFmtId="9" fontId="0" fillId="0" borderId="0" xfId="2" applyFont="1" applyBorder="1"/>
    <xf numFmtId="2" fontId="0" fillId="0" borderId="6" xfId="0" applyNumberFormat="1" applyBorder="1"/>
    <xf numFmtId="1" fontId="0" fillId="0" borderId="0" xfId="0" applyNumberFormat="1" applyBorder="1"/>
    <xf numFmtId="187" fontId="0" fillId="2" borderId="6" xfId="1" applyNumberFormat="1" applyFont="1" applyFill="1" applyBorder="1"/>
    <xf numFmtId="0" fontId="0" fillId="4" borderId="0" xfId="0" applyFill="1"/>
    <xf numFmtId="187" fontId="0" fillId="0" borderId="0" xfId="1" applyNumberFormat="1" applyFont="1" applyFill="1"/>
    <xf numFmtId="43" fontId="0" fillId="2" borderId="0" xfId="0" applyNumberFormat="1" applyFill="1" applyBorder="1"/>
    <xf numFmtId="43" fontId="0" fillId="2" borderId="0" xfId="0" applyNumberFormat="1" applyFill="1"/>
    <xf numFmtId="187" fontId="0" fillId="2" borderId="0" xfId="0" applyNumberFormat="1" applyFill="1"/>
    <xf numFmtId="187" fontId="0" fillId="5" borderId="0" xfId="0" applyNumberFormat="1" applyFill="1"/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workbookViewId="0">
      <selection activeCell="F3" sqref="F3"/>
    </sheetView>
  </sheetViews>
  <sheetFormatPr defaultRowHeight="14.25"/>
  <cols>
    <col min="2" max="2" width="16.125" customWidth="1"/>
    <col min="3" max="3" width="16.375" customWidth="1"/>
    <col min="4" max="4" width="9" customWidth="1"/>
    <col min="5" max="5" width="16.125" customWidth="1"/>
    <col min="6" max="6" width="26.5" customWidth="1"/>
    <col min="8" max="8" width="13.875" customWidth="1"/>
    <col min="10" max="10" width="13.125" bestFit="1" customWidth="1"/>
    <col min="13" max="13" width="12.375" bestFit="1" customWidth="1"/>
    <col min="15" max="15" width="10.5" bestFit="1" customWidth="1"/>
    <col min="18" max="18" width="10" customWidth="1"/>
    <col min="19" max="19" width="11.375" bestFit="1" customWidth="1"/>
    <col min="21" max="21" width="10.75" bestFit="1" customWidth="1"/>
    <col min="24" max="24" width="9.5" customWidth="1"/>
    <col min="25" max="25" width="11.375" bestFit="1" customWidth="1"/>
    <col min="26" max="26" width="10.375" bestFit="1" customWidth="1"/>
    <col min="32" max="32" width="13.125" bestFit="1" customWidth="1"/>
    <col min="33" max="33" width="13.125" customWidth="1"/>
    <col min="45" max="45" width="10" bestFit="1" customWidth="1"/>
    <col min="46" max="46" width="12.375" bestFit="1" customWidth="1"/>
    <col min="47" max="47" width="11.75" customWidth="1"/>
    <col min="48" max="48" width="9.125" bestFit="1" customWidth="1"/>
    <col min="49" max="50" width="12.375" bestFit="1" customWidth="1"/>
    <col min="51" max="51" width="10.75" bestFit="1" customWidth="1"/>
    <col min="52" max="52" width="14" customWidth="1"/>
  </cols>
  <sheetData>
    <row r="1" spans="1:52" ht="15" thickBot="1">
      <c r="A1" s="34" t="s">
        <v>28</v>
      </c>
      <c r="B1" s="34"/>
      <c r="C1" s="34"/>
      <c r="J1" s="34" t="s">
        <v>29</v>
      </c>
      <c r="K1" s="34"/>
      <c r="L1" s="34"/>
      <c r="O1" s="34" t="s">
        <v>30</v>
      </c>
      <c r="P1" s="34"/>
      <c r="Q1" s="34"/>
      <c r="R1" s="34"/>
      <c r="U1" s="34" t="s">
        <v>33</v>
      </c>
      <c r="V1" s="34"/>
      <c r="W1" s="34"/>
      <c r="AB1" s="34" t="s">
        <v>34</v>
      </c>
      <c r="AC1" s="34"/>
      <c r="AD1" s="34"/>
      <c r="AE1" s="34"/>
      <c r="AG1" t="s">
        <v>40</v>
      </c>
      <c r="AI1" s="34" t="s">
        <v>35</v>
      </c>
      <c r="AJ1" s="34"/>
      <c r="AK1" s="34"/>
      <c r="AO1" s="34" t="s">
        <v>36</v>
      </c>
      <c r="AP1" s="34"/>
      <c r="AQ1" s="34"/>
      <c r="AS1" s="34" t="s">
        <v>37</v>
      </c>
      <c r="AT1" s="34"/>
      <c r="AU1" s="34"/>
    </row>
    <row r="2" spans="1:52">
      <c r="A2" s="3" t="s">
        <v>2</v>
      </c>
      <c r="B2" s="4" t="s">
        <v>1</v>
      </c>
      <c r="C2" s="5" t="s">
        <v>0</v>
      </c>
      <c r="D2" s="4" t="s">
        <v>3</v>
      </c>
      <c r="E2" s="4" t="s">
        <v>5</v>
      </c>
      <c r="F2" s="5" t="s">
        <v>4</v>
      </c>
      <c r="H2" t="s">
        <v>46</v>
      </c>
      <c r="J2" s="3" t="s">
        <v>7</v>
      </c>
      <c r="K2" s="4"/>
      <c r="L2" s="4"/>
      <c r="M2" s="5" t="s">
        <v>8</v>
      </c>
      <c r="O2" s="3" t="s">
        <v>9</v>
      </c>
      <c r="P2" s="4" t="s">
        <v>10</v>
      </c>
      <c r="Q2" s="4"/>
      <c r="R2" s="4"/>
      <c r="S2" s="5" t="s">
        <v>11</v>
      </c>
      <c r="U2" s="3" t="s">
        <v>32</v>
      </c>
      <c r="V2" s="4" t="s">
        <v>10</v>
      </c>
      <c r="W2" s="4"/>
      <c r="X2" s="4"/>
      <c r="Y2" s="5" t="s">
        <v>13</v>
      </c>
      <c r="Z2" s="25" t="s">
        <v>18</v>
      </c>
      <c r="AB2" s="3" t="s">
        <v>14</v>
      </c>
      <c r="AC2" s="4" t="s">
        <v>10</v>
      </c>
      <c r="AD2" s="4"/>
      <c r="AE2" s="4"/>
      <c r="AF2" s="5" t="s">
        <v>15</v>
      </c>
      <c r="AG2" s="25" t="s">
        <v>18</v>
      </c>
      <c r="AI2" s="3" t="s">
        <v>16</v>
      </c>
      <c r="AJ2" s="4"/>
      <c r="AK2" s="4"/>
      <c r="AL2" s="4"/>
      <c r="AM2" s="5" t="s">
        <v>17</v>
      </c>
      <c r="AO2" s="3" t="s">
        <v>19</v>
      </c>
      <c r="AP2" s="4"/>
      <c r="AQ2" s="5" t="s">
        <v>17</v>
      </c>
      <c r="AS2" s="3" t="s">
        <v>20</v>
      </c>
      <c r="AT2" s="4" t="s">
        <v>21</v>
      </c>
      <c r="AU2" s="4" t="s">
        <v>22</v>
      </c>
      <c r="AV2" s="4" t="s">
        <v>24</v>
      </c>
      <c r="AW2" s="4" t="s">
        <v>23</v>
      </c>
      <c r="AX2" s="4" t="s">
        <v>25</v>
      </c>
      <c r="AY2" s="4" t="s">
        <v>26</v>
      </c>
      <c r="AZ2" s="5" t="s">
        <v>27</v>
      </c>
    </row>
    <row r="3" spans="1:52">
      <c r="A3" s="10">
        <v>25</v>
      </c>
      <c r="B3" s="32">
        <v>20000</v>
      </c>
      <c r="C3" s="22">
        <f>B3*0.15</f>
        <v>3000</v>
      </c>
      <c r="D3" s="32">
        <f>C3*12</f>
        <v>36000</v>
      </c>
      <c r="E3" s="32">
        <f>55-A3</f>
        <v>30</v>
      </c>
      <c r="F3" s="22">
        <f>D3*1.1^E3</f>
        <v>628178.48167991196</v>
      </c>
      <c r="J3" s="6">
        <f>(B3*12)-90000</f>
        <v>150000</v>
      </c>
      <c r="K3" s="7"/>
      <c r="L3" s="7"/>
      <c r="M3" s="8">
        <f>IF(J3&lt;=150000,0,IF(J3&lt;=300000,(J3-150000)*0.05,IF(J3&lt;=500000,(J3-300000)*0.1+7500,IF(J3&lt;=750000,(J3-500000)*0.15+27500,IF(J3&lt;=1000000,(J3-750000)*0.2+65000,IF(J3&lt;=2000000,(J3-1000000)*0.25+115000,IF(J3&lt;=4000000,(J3-2000000)*0.3+365000,IF(J3&gt;4000000,(J3-4000000)*0.35+965000))))))))</f>
        <v>0</v>
      </c>
      <c r="O3" s="16">
        <f>D3</f>
        <v>36000</v>
      </c>
      <c r="P3" s="17">
        <f>J3-O3</f>
        <v>114000</v>
      </c>
      <c r="Q3" s="7"/>
      <c r="R3" s="7"/>
      <c r="S3" s="19">
        <f>IF(P3&lt;=150000,0,IF(P3&lt;=300000,(P3-150000)*0.05,IF(P3&lt;=500000,(P3-300000)*0.1+7500,IF(P3&lt;=750000,(P3-500000)*0.15+27500,IF(P3&lt;=1000000,(P3-750000)*0.2+65000,IF(P3&lt;=2000000,(P3-1000000)*0.25+115000,IF(P3&lt;=4000000,(P3-2000000)*0.3+365000,IF(P3&gt;4000000,(P3-4000000)*0.35+965000))))))))</f>
        <v>0</v>
      </c>
      <c r="U3" s="16"/>
      <c r="V3" s="17">
        <f>P3-U3</f>
        <v>114000</v>
      </c>
      <c r="W3" s="7"/>
      <c r="X3" s="7"/>
      <c r="Y3" s="19">
        <f>IF(V3&lt;=150000,0,IF(V3&lt;=300000,(V3-150000)*0.05,IF(V3&lt;=500000,(V3-300000)*0.1+7500,IF(V3&lt;=750000,(V3-500000)*0.15+27500,IF(V3&lt;=1000000,(V3-750000)*0.2+65000,IF(V3&lt;=2000000,(V3-1000000)*0.25+115000,IF(V3&lt;=4000000,(V3-2000000)*0.3+365000,IF(V3&gt;4000000,(V3-4000000)*0.35+965000))))))))</f>
        <v>0</v>
      </c>
      <c r="Z3" s="23"/>
      <c r="AB3" s="10"/>
      <c r="AC3" s="7"/>
      <c r="AD3" s="7"/>
      <c r="AE3" s="7"/>
      <c r="AF3" s="19">
        <f>IF(AC3&lt;=150000,0,IF(AC3&lt;=300000,(AC3-150000)*0.05,IF(AC3&lt;=500000,(AC3-300000)*0.1+7500,IF(AC3&lt;=750000,(AC3-500000)*0.15+27500,IF(AC3&lt;=1000000,(AC3-750000)*0.2+65000,IF(AC3&lt;=2000000,(AC3-1000000)*0.25+115000,IF(AC3&lt;=4000000,(AC3-2000000)*0.3+365000,IF(AC3&gt;4000000,(AC3-4000000)*0.35+965000))))))))</f>
        <v>0</v>
      </c>
      <c r="AG3" s="23"/>
      <c r="AI3" s="16">
        <f>((B3*12)-O3-U3-AB3)/12</f>
        <v>17000</v>
      </c>
      <c r="AJ3" s="7"/>
      <c r="AK3" s="7"/>
      <c r="AL3" s="7"/>
      <c r="AM3" s="22">
        <f>AI3/(1.03^(A3-25))</f>
        <v>17000</v>
      </c>
      <c r="AO3" s="16">
        <f>AI3+(-AF3+M3)/12</f>
        <v>17000</v>
      </c>
      <c r="AP3" s="7"/>
      <c r="AQ3" s="22">
        <f>AO3/(1.03^(A3-25))</f>
        <v>17000</v>
      </c>
      <c r="AS3" s="10">
        <v>55</v>
      </c>
      <c r="AT3" s="29">
        <f>F35+Z35</f>
        <v>17876066.937198147</v>
      </c>
      <c r="AU3" s="7">
        <f>1000000</f>
        <v>1000000</v>
      </c>
      <c r="AV3" s="29">
        <f>AU3/12</f>
        <v>83333.333333333328</v>
      </c>
      <c r="AW3" s="17">
        <f>AT3-AU3</f>
        <v>16876066.937198147</v>
      </c>
      <c r="AX3" s="17">
        <f>AW3*1.1</f>
        <v>18563673.630917963</v>
      </c>
      <c r="AY3" s="30">
        <f>((AX3-AT3)/AT3)</f>
        <v>3.8465211398877729E-2</v>
      </c>
      <c r="AZ3" s="31">
        <f>AV3/(1.03^(AS3-25))</f>
        <v>34332.229959658907</v>
      </c>
    </row>
    <row r="4" spans="1:52">
      <c r="A4" s="10">
        <v>26</v>
      </c>
      <c r="B4" s="32">
        <f>B3*1.05</f>
        <v>21000</v>
      </c>
      <c r="C4" s="22">
        <f t="shared" ref="C4:C33" si="0">B4*0.15</f>
        <v>3150</v>
      </c>
      <c r="D4" s="32">
        <f t="shared" ref="D4:D33" si="1">C4*12</f>
        <v>37800</v>
      </c>
      <c r="E4" s="32">
        <f t="shared" ref="E4:E33" si="2">55-A4</f>
        <v>29</v>
      </c>
      <c r="F4" s="22">
        <f t="shared" ref="F4:F33" si="3">D4*1.1^E4</f>
        <v>599624.91433082498</v>
      </c>
      <c r="H4" s="1">
        <f>SUM(F3:F33)</f>
        <v>10552538.161344146</v>
      </c>
      <c r="J4" s="6">
        <f t="shared" ref="J4:J33" si="4">(B4*12)-90000</f>
        <v>162000</v>
      </c>
      <c r="K4" s="7"/>
      <c r="L4" s="7"/>
      <c r="M4" s="8">
        <f t="shared" ref="M4:M12" si="5">IF(J4&lt;=150000,0,IF(J4&lt;=300000,(J4-150000)*0.05,IF(J4&lt;=500000,(J4-300000)*0.1+7500,IF(J4&lt;=750000,(J4-500000)*0.15+27500,IF(J4&lt;=1000000,(J4-750000)*0.2+65000,IF(J4&lt;=2000000,(J4-1000000)*0.25+115000,IF(J4&lt;=4000000,(J4-2000000)*0.3+365000,IF(J4&gt;4000000,(J4-4000000)*0.35+965000))))))))</f>
        <v>600</v>
      </c>
      <c r="O4" s="16">
        <f t="shared" ref="O4:O33" si="6">D4</f>
        <v>37800</v>
      </c>
      <c r="P4" s="17">
        <f t="shared" ref="P4:P33" si="7">J4-O4</f>
        <v>124200</v>
      </c>
      <c r="Q4" s="7"/>
      <c r="R4" s="7"/>
      <c r="S4" s="19">
        <f t="shared" ref="S4:S33" si="8">IF(P4&lt;=150000,0,IF(P4&lt;=300000,(P4-150000)*0.05,IF(P4&lt;=500000,(P4-300000)*0.1+7500,IF(P4&lt;=750000,(P4-500000)*0.15+27500,IF(P4&lt;=1000000,(P4-750000)*0.2+65000,IF(P4&lt;=2000000,(P4-1000000)*0.25+115000,IF(P4&lt;=4000000,(P4-2000000)*0.3+365000,IF(P4&gt;4000000,(P4-4000000)*0.35+965000))))))))</f>
        <v>0</v>
      </c>
      <c r="U4" s="16"/>
      <c r="V4" s="17">
        <f t="shared" ref="V4:V33" si="9">P4-U4</f>
        <v>124200</v>
      </c>
      <c r="W4" s="7"/>
      <c r="X4" s="7"/>
      <c r="Y4" s="19">
        <f t="shared" ref="Y4:Y33" si="10">IF(V4&lt;=150000,0,IF(V4&lt;=300000,(V4-150000)*0.05,IF(V4&lt;=500000,(V4-300000)*0.1+7500,IF(V4&lt;=750000,(V4-500000)*0.15+27500,IF(V4&lt;=1000000,(V4-750000)*0.2+65000,IF(V4&lt;=2000000,(V4-1000000)*0.25+115000,IF(V4&lt;=4000000,(V4-2000000)*0.3+365000,IF(V4&gt;4000000,(V4-4000000)*0.35+965000))))))))</f>
        <v>0</v>
      </c>
      <c r="Z4" s="23"/>
      <c r="AB4" s="10"/>
      <c r="AC4" s="7"/>
      <c r="AD4" s="7"/>
      <c r="AE4" s="7"/>
      <c r="AF4" s="19">
        <f t="shared" ref="AF4:AF33" si="11">IF(AC4&lt;=150000,0,IF(AC4&lt;=300000,(AC4-150000)*0.05,IF(AC4&lt;=500000,(AC4-300000)*0.1+7500,IF(AC4&lt;=750000,(AC4-500000)*0.15+27500,IF(AC4&lt;=1000000,(AC4-750000)*0.2+65000,IF(AC4&lt;=2000000,(AC4-1000000)*0.25+115000,IF(AC4&lt;=4000000,(AC4-2000000)*0.3+365000,IF(AC4&gt;4000000,(AC4-4000000)*0.35+965000))))))))</f>
        <v>0</v>
      </c>
      <c r="AG4" s="23"/>
      <c r="AI4" s="16">
        <f>((B4*12)-O4-U4-AB4)/12</f>
        <v>17850</v>
      </c>
      <c r="AJ4" s="7"/>
      <c r="AK4" s="7"/>
      <c r="AL4" s="7"/>
      <c r="AM4" s="22">
        <f>AI4/(1.03^(A4-25))</f>
        <v>17330.097087378639</v>
      </c>
      <c r="AO4" s="16">
        <f t="shared" ref="AO4:AO33" si="12">AI4+(-AF4+M4)/12</f>
        <v>17900</v>
      </c>
      <c r="AP4" s="7"/>
      <c r="AQ4" s="22">
        <f>AO4/(1.03^(A4-25))</f>
        <v>17378.640776699027</v>
      </c>
      <c r="AS4" s="10">
        <v>56</v>
      </c>
      <c r="AT4" s="17">
        <f>AX3</f>
        <v>18563673.630917963</v>
      </c>
      <c r="AU4" s="32">
        <f>AU3*1.04</f>
        <v>1040000</v>
      </c>
      <c r="AV4" s="29">
        <f t="shared" ref="AV4:AV33" si="13">AU4/12</f>
        <v>86666.666666666672</v>
      </c>
      <c r="AW4" s="17">
        <f t="shared" ref="AW4:AW33" si="14">AT4-AU4</f>
        <v>17523673.630917963</v>
      </c>
      <c r="AX4" s="17">
        <f>AW4*1.1</f>
        <v>19276040.994009759</v>
      </c>
      <c r="AY4" s="30">
        <f t="shared" ref="AY4:AY33" si="15">((AX4-AT4)/AT4)</f>
        <v>3.8374266713315973E-2</v>
      </c>
      <c r="AZ4" s="31">
        <f t="shared" ref="AZ4:AZ33" si="16">AV4/(1.03^(AS4-25))</f>
        <v>34665.55258062647</v>
      </c>
    </row>
    <row r="5" spans="1:52">
      <c r="A5" s="10">
        <v>27</v>
      </c>
      <c r="B5" s="32">
        <f t="shared" ref="B5:B33" si="17">B4*1.05</f>
        <v>22050</v>
      </c>
      <c r="C5" s="22">
        <f t="shared" si="0"/>
        <v>3307.5</v>
      </c>
      <c r="D5" s="32">
        <f t="shared" si="1"/>
        <v>39690</v>
      </c>
      <c r="E5" s="32">
        <f t="shared" si="2"/>
        <v>28</v>
      </c>
      <c r="F5" s="22">
        <f t="shared" si="3"/>
        <v>572369.23640669661</v>
      </c>
      <c r="H5" t="s">
        <v>41</v>
      </c>
      <c r="J5" s="6">
        <f t="shared" si="4"/>
        <v>174600</v>
      </c>
      <c r="K5" s="7"/>
      <c r="L5" s="7"/>
      <c r="M5" s="8">
        <f t="shared" si="5"/>
        <v>1230</v>
      </c>
      <c r="O5" s="16">
        <f t="shared" si="6"/>
        <v>39690</v>
      </c>
      <c r="P5" s="17">
        <f t="shared" si="7"/>
        <v>134910</v>
      </c>
      <c r="Q5" s="7"/>
      <c r="R5" s="7"/>
      <c r="S5" s="19">
        <f t="shared" si="8"/>
        <v>0</v>
      </c>
      <c r="U5" s="16"/>
      <c r="V5" s="17">
        <f t="shared" si="9"/>
        <v>134910</v>
      </c>
      <c r="W5" s="7"/>
      <c r="X5" s="7"/>
      <c r="Y5" s="19">
        <f t="shared" si="10"/>
        <v>0</v>
      </c>
      <c r="Z5" s="23"/>
      <c r="AB5" s="10"/>
      <c r="AC5" s="7"/>
      <c r="AD5" s="7"/>
      <c r="AE5" s="7"/>
      <c r="AF5" s="19">
        <f t="shared" si="11"/>
        <v>0</v>
      </c>
      <c r="AG5" s="23"/>
      <c r="AI5" s="16">
        <f>((B5*12)-O5-U5-AB5)/12</f>
        <v>18742.5</v>
      </c>
      <c r="AJ5" s="7"/>
      <c r="AK5" s="7"/>
      <c r="AL5" s="7"/>
      <c r="AM5" s="22">
        <f>AI5/(1.03^(A5-25))</f>
        <v>17666.60382693939</v>
      </c>
      <c r="AO5" s="16">
        <f t="shared" si="12"/>
        <v>18845</v>
      </c>
      <c r="AP5" s="7"/>
      <c r="AQ5" s="22">
        <f>AO5/(1.03^(A5-25))</f>
        <v>17763.2199076256</v>
      </c>
      <c r="AS5" s="10">
        <v>57</v>
      </c>
      <c r="AT5" s="17">
        <f t="shared" ref="AT5:AT33" si="18">AX4</f>
        <v>19276040.994009759</v>
      </c>
      <c r="AU5" s="32">
        <f t="shared" ref="AU5:AU33" si="19">AU4*1.04</f>
        <v>1081600</v>
      </c>
      <c r="AV5" s="29">
        <f t="shared" si="13"/>
        <v>90133.333333333328</v>
      </c>
      <c r="AW5" s="17">
        <f t="shared" si="14"/>
        <v>18194440.994009759</v>
      </c>
      <c r="AX5" s="17">
        <f t="shared" ref="AX5:AX33" si="20">AW5*1.1</f>
        <v>20013885.093410738</v>
      </c>
      <c r="AY5" s="30">
        <f t="shared" si="15"/>
        <v>3.8277782228740419E-2</v>
      </c>
      <c r="AZ5" s="31">
        <f t="shared" si="16"/>
        <v>35002.111343545177</v>
      </c>
    </row>
    <row r="6" spans="1:52">
      <c r="A6" s="10">
        <v>28</v>
      </c>
      <c r="B6" s="32">
        <f t="shared" si="17"/>
        <v>23152.5</v>
      </c>
      <c r="C6" s="22">
        <f t="shared" si="0"/>
        <v>3472.875</v>
      </c>
      <c r="D6" s="32">
        <f t="shared" si="1"/>
        <v>41674.5</v>
      </c>
      <c r="E6" s="32">
        <f t="shared" si="2"/>
        <v>27</v>
      </c>
      <c r="F6" s="22">
        <f t="shared" si="3"/>
        <v>546352.4529336649</v>
      </c>
      <c r="H6" s="38">
        <f>Z35</f>
        <v>7323528.7758540008</v>
      </c>
      <c r="J6" s="6">
        <f t="shared" si="4"/>
        <v>187830</v>
      </c>
      <c r="K6" s="7"/>
      <c r="L6" s="7"/>
      <c r="M6" s="8">
        <f t="shared" si="5"/>
        <v>1891.5</v>
      </c>
      <c r="O6" s="16">
        <f t="shared" si="6"/>
        <v>41674.5</v>
      </c>
      <c r="P6" s="17">
        <f t="shared" si="7"/>
        <v>146155.5</v>
      </c>
      <c r="Q6" s="7"/>
      <c r="R6" s="7"/>
      <c r="S6" s="19">
        <f t="shared" si="8"/>
        <v>0</v>
      </c>
      <c r="U6" s="16"/>
      <c r="V6" s="17">
        <f t="shared" si="9"/>
        <v>146155.5</v>
      </c>
      <c r="W6" s="7"/>
      <c r="X6" s="7"/>
      <c r="Y6" s="19">
        <f t="shared" si="10"/>
        <v>0</v>
      </c>
      <c r="Z6" s="23"/>
      <c r="AB6" s="10"/>
      <c r="AC6" s="7"/>
      <c r="AD6" s="7"/>
      <c r="AE6" s="7"/>
      <c r="AF6" s="19">
        <f t="shared" si="11"/>
        <v>0</v>
      </c>
      <c r="AG6" s="23"/>
      <c r="AI6" s="16">
        <f>((B6*12)-O6-U6-AB6)/12</f>
        <v>19679.625</v>
      </c>
      <c r="AJ6" s="7"/>
      <c r="AK6" s="7"/>
      <c r="AL6" s="7"/>
      <c r="AM6" s="22">
        <f>AI6/(1.03^(A6-25))</f>
        <v>18009.644677947923</v>
      </c>
      <c r="AO6" s="16">
        <f t="shared" si="12"/>
        <v>19837.25</v>
      </c>
      <c r="AP6" s="7"/>
      <c r="AQ6" s="22">
        <f>AO6/(1.03^(A6-25))</f>
        <v>18153.893882003464</v>
      </c>
      <c r="AS6" s="10">
        <v>58</v>
      </c>
      <c r="AT6" s="17">
        <f t="shared" si="18"/>
        <v>20013885.093410738</v>
      </c>
      <c r="AU6" s="32">
        <f t="shared" si="19"/>
        <v>1124864</v>
      </c>
      <c r="AV6" s="29">
        <f t="shared" si="13"/>
        <v>93738.666666666672</v>
      </c>
      <c r="AW6" s="17">
        <f t="shared" si="14"/>
        <v>18889021.093410738</v>
      </c>
      <c r="AX6" s="17">
        <f t="shared" si="20"/>
        <v>20777923.202751812</v>
      </c>
      <c r="AY6" s="30">
        <f t="shared" si="15"/>
        <v>3.8175402015904525E-2</v>
      </c>
      <c r="AZ6" s="31">
        <f t="shared" si="16"/>
        <v>35341.937667268918</v>
      </c>
    </row>
    <row r="7" spans="1:52">
      <c r="A7" s="10">
        <v>29</v>
      </c>
      <c r="B7" s="32">
        <f t="shared" si="17"/>
        <v>24310.125</v>
      </c>
      <c r="C7" s="22">
        <f t="shared" si="0"/>
        <v>3646.5187499999997</v>
      </c>
      <c r="D7" s="32">
        <f t="shared" si="1"/>
        <v>43758.224999999999</v>
      </c>
      <c r="E7" s="32">
        <f t="shared" si="2"/>
        <v>26</v>
      </c>
      <c r="F7" s="22">
        <f t="shared" si="3"/>
        <v>521518.25052758912</v>
      </c>
      <c r="H7" t="s">
        <v>42</v>
      </c>
      <c r="J7" s="6">
        <f t="shared" si="4"/>
        <v>201721.5</v>
      </c>
      <c r="K7" s="7"/>
      <c r="L7" s="7"/>
      <c r="M7" s="8">
        <f t="shared" si="5"/>
        <v>2586.0750000000003</v>
      </c>
      <c r="O7" s="16">
        <f t="shared" si="6"/>
        <v>43758.224999999999</v>
      </c>
      <c r="P7" s="17">
        <f t="shared" si="7"/>
        <v>157963.27499999999</v>
      </c>
      <c r="Q7" s="7"/>
      <c r="R7" s="7"/>
      <c r="S7" s="19">
        <f t="shared" si="8"/>
        <v>398.16374999999971</v>
      </c>
      <c r="U7" s="16">
        <v>7964</v>
      </c>
      <c r="V7" s="17">
        <f t="shared" si="9"/>
        <v>149999.27499999999</v>
      </c>
      <c r="W7" s="7"/>
      <c r="X7" s="7"/>
      <c r="Y7" s="19">
        <f t="shared" si="10"/>
        <v>0</v>
      </c>
      <c r="Z7" s="26">
        <f>U7*1.1^E7</f>
        <v>94916.35794645967</v>
      </c>
      <c r="AB7" s="10"/>
      <c r="AC7" s="7"/>
      <c r="AD7" s="7"/>
      <c r="AE7" s="7"/>
      <c r="AF7" s="19">
        <f t="shared" si="11"/>
        <v>0</v>
      </c>
      <c r="AG7" s="23"/>
      <c r="AI7" s="16">
        <f>((B7*12)-O7-U7-AB7)/12</f>
        <v>19999.939583333333</v>
      </c>
      <c r="AJ7" s="7"/>
      <c r="AK7" s="7"/>
      <c r="AL7" s="7"/>
      <c r="AM7" s="22">
        <f>AI7/(1.03^(A7-25))</f>
        <v>17769.687278887966</v>
      </c>
      <c r="AO7" s="16">
        <f t="shared" si="12"/>
        <v>20215.445833333331</v>
      </c>
      <c r="AP7" s="7"/>
      <c r="AQ7" s="22">
        <f>AO7/(1.03^(A7-25))</f>
        <v>17961.161790757847</v>
      </c>
      <c r="AS7" s="10">
        <v>59</v>
      </c>
      <c r="AT7" s="17">
        <f t="shared" si="18"/>
        <v>20777923.202751812</v>
      </c>
      <c r="AU7" s="32">
        <f t="shared" si="19"/>
        <v>1169858.5600000001</v>
      </c>
      <c r="AV7" s="29">
        <f t="shared" si="13"/>
        <v>97488.213333333333</v>
      </c>
      <c r="AW7" s="17">
        <f t="shared" si="14"/>
        <v>19608064.642751813</v>
      </c>
      <c r="AX7" s="17">
        <f t="shared" si="20"/>
        <v>21568871.107026994</v>
      </c>
      <c r="AY7" s="30">
        <f t="shared" si="15"/>
        <v>3.8066745004160477E-2</v>
      </c>
      <c r="AZ7" s="31">
        <f t="shared" si="16"/>
        <v>35685.063275689005</v>
      </c>
    </row>
    <row r="8" spans="1:52">
      <c r="A8" s="10">
        <v>30</v>
      </c>
      <c r="B8" s="32">
        <f t="shared" si="17"/>
        <v>25525.631250000002</v>
      </c>
      <c r="C8" s="22">
        <f t="shared" si="0"/>
        <v>3828.8446875</v>
      </c>
      <c r="D8" s="32">
        <f t="shared" si="1"/>
        <v>45946.136249999996</v>
      </c>
      <c r="E8" s="32">
        <f t="shared" si="2"/>
        <v>25</v>
      </c>
      <c r="F8" s="22">
        <f t="shared" si="3"/>
        <v>497812.87550360773</v>
      </c>
      <c r="H8" s="38">
        <f>AG35</f>
        <v>2011079.6685762578</v>
      </c>
      <c r="J8" s="6">
        <f t="shared" si="4"/>
        <v>216307.57500000001</v>
      </c>
      <c r="K8" s="7"/>
      <c r="L8" s="7"/>
      <c r="M8" s="8">
        <f t="shared" si="5"/>
        <v>3315.3787500000008</v>
      </c>
      <c r="O8" s="16">
        <f t="shared" si="6"/>
        <v>45946.136249999996</v>
      </c>
      <c r="P8" s="17">
        <f t="shared" si="7"/>
        <v>170361.43875000003</v>
      </c>
      <c r="Q8" s="7"/>
      <c r="R8" s="7"/>
      <c r="S8" s="19">
        <f t="shared" si="8"/>
        <v>1018.0719375000016</v>
      </c>
      <c r="U8" s="16">
        <v>20362</v>
      </c>
      <c r="V8" s="17">
        <f t="shared" si="9"/>
        <v>149999.43875000003</v>
      </c>
      <c r="W8" s="7"/>
      <c r="X8" s="7"/>
      <c r="Y8" s="19">
        <f t="shared" si="10"/>
        <v>0</v>
      </c>
      <c r="Z8" s="26">
        <f>U8*1.1^E8</f>
        <v>220616.28241927442</v>
      </c>
      <c r="AB8" s="10"/>
      <c r="AC8" s="7"/>
      <c r="AD8" s="7"/>
      <c r="AE8" s="7"/>
      <c r="AF8" s="19">
        <f t="shared" si="11"/>
        <v>0</v>
      </c>
      <c r="AG8" s="23"/>
      <c r="AI8" s="16">
        <f>((B8*12)-O8-U8-AB8)/12</f>
        <v>19999.953229166669</v>
      </c>
      <c r="AJ8" s="7"/>
      <c r="AK8" s="7"/>
      <c r="AL8" s="7"/>
      <c r="AM8" s="22">
        <f>AI8/(1.03^(A8-25))</f>
        <v>17252.135342751597</v>
      </c>
      <c r="AO8" s="16">
        <f t="shared" si="12"/>
        <v>20276.234791666669</v>
      </c>
      <c r="AP8" s="7"/>
      <c r="AQ8" s="22">
        <f>AO8/(1.03^(A8-25))</f>
        <v>17490.458245527479</v>
      </c>
      <c r="AS8" s="10">
        <v>60</v>
      </c>
      <c r="AT8" s="17">
        <f t="shared" si="18"/>
        <v>21568871.107026994</v>
      </c>
      <c r="AU8" s="32">
        <f t="shared" si="19"/>
        <v>1216652.9024</v>
      </c>
      <c r="AV8" s="29">
        <f t="shared" si="13"/>
        <v>101387.74186666666</v>
      </c>
      <c r="AW8" s="17">
        <f t="shared" si="14"/>
        <v>20352218.204626992</v>
      </c>
      <c r="AX8" s="17">
        <f t="shared" si="20"/>
        <v>22387440.025089692</v>
      </c>
      <c r="AY8" s="30">
        <f t="shared" si="15"/>
        <v>3.7951402926971634E-2</v>
      </c>
      <c r="AZ8" s="31">
        <f t="shared" si="16"/>
        <v>36031.52020069569</v>
      </c>
    </row>
    <row r="9" spans="1:52">
      <c r="A9" s="10">
        <v>31</v>
      </c>
      <c r="B9" s="32">
        <f t="shared" si="17"/>
        <v>26801.912812500002</v>
      </c>
      <c r="C9" s="22">
        <f t="shared" si="0"/>
        <v>4020.2869218750002</v>
      </c>
      <c r="D9" s="32">
        <f t="shared" si="1"/>
        <v>48243.443062500002</v>
      </c>
      <c r="E9" s="32">
        <f t="shared" si="2"/>
        <v>24</v>
      </c>
      <c r="F9" s="22">
        <f t="shared" si="3"/>
        <v>475185.017526171</v>
      </c>
      <c r="H9" t="s">
        <v>43</v>
      </c>
      <c r="J9" s="6">
        <f t="shared" si="4"/>
        <v>231622.95375000004</v>
      </c>
      <c r="K9" s="7"/>
      <c r="L9" s="7"/>
      <c r="M9" s="8">
        <f t="shared" si="5"/>
        <v>4081.1476875000026</v>
      </c>
      <c r="O9" s="16">
        <f t="shared" si="6"/>
        <v>48243.443062500002</v>
      </c>
      <c r="P9" s="17">
        <f t="shared" si="7"/>
        <v>183379.51068750003</v>
      </c>
      <c r="Q9" s="7"/>
      <c r="R9" s="7"/>
      <c r="S9" s="19">
        <f t="shared" si="8"/>
        <v>1668.9755343750019</v>
      </c>
      <c r="U9" s="16">
        <v>33381</v>
      </c>
      <c r="V9" s="17">
        <f t="shared" si="9"/>
        <v>149998.51068750003</v>
      </c>
      <c r="W9" s="7"/>
      <c r="X9" s="7"/>
      <c r="Y9" s="19">
        <f t="shared" si="10"/>
        <v>0</v>
      </c>
      <c r="Z9" s="26">
        <f>U9*1.1^E9</f>
        <v>328793.92645113438</v>
      </c>
      <c r="AB9" s="10"/>
      <c r="AC9" s="7"/>
      <c r="AD9" s="7"/>
      <c r="AE9" s="7"/>
      <c r="AF9" s="19">
        <f t="shared" si="11"/>
        <v>0</v>
      </c>
      <c r="AG9" s="23"/>
      <c r="AI9" s="16">
        <f>((B9*12)-O9-U9-AB9)/12</f>
        <v>19999.875890625004</v>
      </c>
      <c r="AJ9" s="7"/>
      <c r="AK9" s="7"/>
      <c r="AL9" s="7"/>
      <c r="AM9" s="22">
        <f>AI9/(1.03^(A9-25))</f>
        <v>16749.581194025421</v>
      </c>
      <c r="AO9" s="16">
        <f t="shared" si="12"/>
        <v>20339.971531250005</v>
      </c>
      <c r="AP9" s="7"/>
      <c r="AQ9" s="22">
        <f>AO9/(1.03^(A9-25))</f>
        <v>17034.405938815602</v>
      </c>
      <c r="AS9" s="10">
        <v>61</v>
      </c>
      <c r="AT9" s="17">
        <f t="shared" si="18"/>
        <v>22387440.025089692</v>
      </c>
      <c r="AU9" s="32">
        <f t="shared" si="19"/>
        <v>1265319.018496</v>
      </c>
      <c r="AV9" s="29">
        <f t="shared" si="13"/>
        <v>105443.25154133333</v>
      </c>
      <c r="AW9" s="17">
        <f t="shared" si="14"/>
        <v>21122121.006593693</v>
      </c>
      <c r="AX9" s="17">
        <f t="shared" si="20"/>
        <v>23234333.107253063</v>
      </c>
      <c r="AY9" s="30">
        <f t="shared" si="15"/>
        <v>3.7828938065909042E-2</v>
      </c>
      <c r="AZ9" s="31">
        <f t="shared" si="16"/>
        <v>36381.340785168468</v>
      </c>
    </row>
    <row r="10" spans="1:52">
      <c r="A10" s="10">
        <v>32</v>
      </c>
      <c r="B10" s="32">
        <f t="shared" si="17"/>
        <v>28142.008453125003</v>
      </c>
      <c r="C10" s="22">
        <f t="shared" si="0"/>
        <v>4221.3012679687499</v>
      </c>
      <c r="D10" s="32">
        <f t="shared" si="1"/>
        <v>50655.615215625003</v>
      </c>
      <c r="E10" s="32">
        <f t="shared" si="2"/>
        <v>23</v>
      </c>
      <c r="F10" s="22">
        <f t="shared" si="3"/>
        <v>453585.69854770874</v>
      </c>
      <c r="J10" s="6">
        <f t="shared" si="4"/>
        <v>247704.10143750004</v>
      </c>
      <c r="K10" s="7"/>
      <c r="L10" s="7"/>
      <c r="M10" s="8">
        <f t="shared" si="5"/>
        <v>4885.2050718750024</v>
      </c>
      <c r="O10" s="16">
        <f t="shared" si="6"/>
        <v>50655.615215625003</v>
      </c>
      <c r="P10" s="17">
        <f t="shared" si="7"/>
        <v>197048.48622187503</v>
      </c>
      <c r="Q10" s="7"/>
      <c r="R10" s="7"/>
      <c r="S10" s="19">
        <f t="shared" si="8"/>
        <v>2352.4243110937518</v>
      </c>
      <c r="U10" s="16">
        <v>47049</v>
      </c>
      <c r="V10" s="17">
        <f t="shared" si="9"/>
        <v>149999.48622187503</v>
      </c>
      <c r="W10" s="7"/>
      <c r="X10" s="7"/>
      <c r="Y10" s="19">
        <f t="shared" si="10"/>
        <v>0</v>
      </c>
      <c r="Z10" s="26">
        <f>U10*1.1^E10</f>
        <v>421290.97514915734</v>
      </c>
      <c r="AB10" s="10"/>
      <c r="AC10" s="7"/>
      <c r="AD10" s="7"/>
      <c r="AE10" s="7"/>
      <c r="AF10" s="19">
        <f t="shared" si="11"/>
        <v>0</v>
      </c>
      <c r="AG10" s="23"/>
      <c r="AI10" s="16">
        <f>((B10*12)-O10-U10-AB10)/12</f>
        <v>19999.957185156254</v>
      </c>
      <c r="AJ10" s="7"/>
      <c r="AK10" s="7"/>
      <c r="AL10" s="7"/>
      <c r="AM10" s="22">
        <f>AI10/(1.03^(A10-25))</f>
        <v>16261.795414481066</v>
      </c>
      <c r="AO10" s="16">
        <f t="shared" si="12"/>
        <v>20407.057607812505</v>
      </c>
      <c r="AP10" s="7"/>
      <c r="AQ10" s="22">
        <f>AO10/(1.03^(A10-25))</f>
        <v>16592.805312407156</v>
      </c>
      <c r="AS10" s="10">
        <v>62</v>
      </c>
      <c r="AT10" s="17">
        <f t="shared" si="18"/>
        <v>23234333.107253063</v>
      </c>
      <c r="AU10" s="32">
        <f t="shared" si="19"/>
        <v>1315931.7792358401</v>
      </c>
      <c r="AV10" s="29">
        <f t="shared" si="13"/>
        <v>109660.98160298668</v>
      </c>
      <c r="AW10" s="17">
        <f t="shared" si="14"/>
        <v>21918401.328017224</v>
      </c>
      <c r="AX10" s="17">
        <f t="shared" si="20"/>
        <v>24110241.460818946</v>
      </c>
      <c r="AY10" s="30">
        <f t="shared" si="15"/>
        <v>3.7698880769358109E-2</v>
      </c>
      <c r="AZ10" s="31">
        <f t="shared" si="16"/>
        <v>36734.557685995351</v>
      </c>
    </row>
    <row r="11" spans="1:52">
      <c r="A11" s="10">
        <v>33</v>
      </c>
      <c r="B11" s="32">
        <f t="shared" si="17"/>
        <v>29549.108875781254</v>
      </c>
      <c r="C11" s="22">
        <f t="shared" si="0"/>
        <v>4432.3663313671877</v>
      </c>
      <c r="D11" s="32">
        <f t="shared" si="1"/>
        <v>53188.395976406253</v>
      </c>
      <c r="E11" s="32">
        <f t="shared" si="2"/>
        <v>22</v>
      </c>
      <c r="F11" s="22">
        <f t="shared" si="3"/>
        <v>432968.16679554014</v>
      </c>
      <c r="H11" t="s">
        <v>44</v>
      </c>
      <c r="J11" s="6">
        <f t="shared" si="4"/>
        <v>264589.30650937505</v>
      </c>
      <c r="K11" s="7"/>
      <c r="L11" s="7"/>
      <c r="M11" s="8">
        <f t="shared" si="5"/>
        <v>5729.4653254687528</v>
      </c>
      <c r="O11" s="16">
        <f t="shared" si="6"/>
        <v>53188.395976406253</v>
      </c>
      <c r="P11" s="17">
        <f t="shared" si="7"/>
        <v>211400.91053296879</v>
      </c>
      <c r="Q11" s="7"/>
      <c r="R11" s="7"/>
      <c r="S11" s="19">
        <f t="shared" si="8"/>
        <v>3070.0455266484396</v>
      </c>
      <c r="U11" s="16">
        <f t="shared" ref="U11:U33" si="21">D11</f>
        <v>53188.395976406253</v>
      </c>
      <c r="V11" s="17">
        <f t="shared" si="9"/>
        <v>158212.51455656253</v>
      </c>
      <c r="W11" s="7"/>
      <c r="X11" s="7"/>
      <c r="Y11" s="19">
        <f t="shared" si="10"/>
        <v>410.6257278281264</v>
      </c>
      <c r="Z11" s="26">
        <f>U11*1.1^E11</f>
        <v>432968.16679554014</v>
      </c>
      <c r="AB11" s="16">
        <v>8300</v>
      </c>
      <c r="AC11" s="17">
        <f>V11-AB11</f>
        <v>149912.51455656253</v>
      </c>
      <c r="AD11" s="7"/>
      <c r="AE11" s="7"/>
      <c r="AF11" s="19">
        <f t="shared" si="11"/>
        <v>0</v>
      </c>
      <c r="AG11" s="26">
        <f>AB11*1.03^E11</f>
        <v>15903.658293544479</v>
      </c>
      <c r="AI11" s="16">
        <f>((B11*12)-O11-U11-AB11)/12</f>
        <v>19992.709546380214</v>
      </c>
      <c r="AJ11" s="7"/>
      <c r="AK11" s="7"/>
      <c r="AL11" s="7"/>
      <c r="AM11" s="22">
        <f>AI11/(1.03^(A11-25))</f>
        <v>15782.429534868919</v>
      </c>
      <c r="AO11" s="16">
        <f t="shared" si="12"/>
        <v>20470.164990169276</v>
      </c>
      <c r="AP11" s="7"/>
      <c r="AQ11" s="22">
        <f>AO11/(1.03^(A11-25))</f>
        <v>16159.337271169463</v>
      </c>
      <c r="AS11" s="10">
        <v>63</v>
      </c>
      <c r="AT11" s="17">
        <f t="shared" si="18"/>
        <v>24110241.460818946</v>
      </c>
      <c r="AU11" s="32">
        <f t="shared" si="19"/>
        <v>1368569.0504052737</v>
      </c>
      <c r="AV11" s="29">
        <f t="shared" si="13"/>
        <v>114047.42086710614</v>
      </c>
      <c r="AW11" s="17">
        <f t="shared" si="14"/>
        <v>22741672.410413671</v>
      </c>
      <c r="AX11" s="17">
        <f t="shared" si="20"/>
        <v>25015839.651455041</v>
      </c>
      <c r="AY11" s="30">
        <f t="shared" si="15"/>
        <v>3.7560726718882657E-2</v>
      </c>
      <c r="AZ11" s="31">
        <f t="shared" si="16"/>
        <v>37091.203877121516</v>
      </c>
    </row>
    <row r="12" spans="1:52">
      <c r="A12" s="10">
        <v>34</v>
      </c>
      <c r="B12" s="32">
        <f t="shared" si="17"/>
        <v>31026.56431957032</v>
      </c>
      <c r="C12" s="22">
        <f t="shared" si="0"/>
        <v>4653.9846479355474</v>
      </c>
      <c r="D12" s="32">
        <f t="shared" si="1"/>
        <v>55847.815775226569</v>
      </c>
      <c r="E12" s="32">
        <f t="shared" si="2"/>
        <v>21</v>
      </c>
      <c r="F12" s="22">
        <f t="shared" si="3"/>
        <v>413287.79557756102</v>
      </c>
      <c r="H12" s="39">
        <f>H4+H6+H8</f>
        <v>19887146.605774406</v>
      </c>
      <c r="J12" s="6">
        <f t="shared" si="4"/>
        <v>282318.77183484385</v>
      </c>
      <c r="K12" s="7"/>
      <c r="L12" s="7"/>
      <c r="M12" s="8">
        <f t="shared" si="5"/>
        <v>6615.9385917421932</v>
      </c>
      <c r="O12" s="16">
        <f t="shared" si="6"/>
        <v>55847.815775226569</v>
      </c>
      <c r="P12" s="17">
        <f t="shared" si="7"/>
        <v>226470.95605961728</v>
      </c>
      <c r="Q12" s="7"/>
      <c r="R12" s="7"/>
      <c r="S12" s="19">
        <f t="shared" si="8"/>
        <v>3823.5478029808642</v>
      </c>
      <c r="U12" s="16">
        <f t="shared" si="21"/>
        <v>55847.815775226569</v>
      </c>
      <c r="V12" s="17">
        <f t="shared" si="9"/>
        <v>170623.14028439071</v>
      </c>
      <c r="W12" s="7"/>
      <c r="X12" s="7"/>
      <c r="Y12" s="19">
        <f t="shared" si="10"/>
        <v>1031.1570142195358</v>
      </c>
      <c r="Z12" s="26">
        <f>U12*1.1^E12</f>
        <v>413287.79557756102</v>
      </c>
      <c r="AB12" s="16">
        <f>AB11*1.6</f>
        <v>13280</v>
      </c>
      <c r="AC12" s="17">
        <f t="shared" ref="AC12:AC33" si="22">V12-AB12</f>
        <v>157343.14028439071</v>
      </c>
      <c r="AD12" s="7">
        <f>AC12/AC11</f>
        <v>1.0495664137834508</v>
      </c>
      <c r="AE12" s="7"/>
      <c r="AF12" s="19">
        <f t="shared" si="11"/>
        <v>367.15701421953565</v>
      </c>
      <c r="AG12" s="26">
        <f t="shared" ref="AG12:AG33" si="23">AB12*1.03^E12</f>
        <v>24704.7119123021</v>
      </c>
      <c r="AI12" s="16">
        <f>((B12*12)-O12-U12-AB12)/12</f>
        <v>20611.928357032561</v>
      </c>
      <c r="AJ12" s="7"/>
      <c r="AK12" s="7"/>
      <c r="AL12" s="7"/>
      <c r="AM12" s="22">
        <f>AI12/(1.03^(A12-25))</f>
        <v>15797.326778697838</v>
      </c>
      <c r="AO12" s="16">
        <f t="shared" si="12"/>
        <v>21132.66015515945</v>
      </c>
      <c r="AP12" s="7"/>
      <c r="AQ12" s="22">
        <f>AO12/(1.03^(A12-25))</f>
        <v>16196.42434184567</v>
      </c>
      <c r="AS12" s="10">
        <v>64</v>
      </c>
      <c r="AT12" s="17">
        <f t="shared" si="18"/>
        <v>25015839.651455041</v>
      </c>
      <c r="AU12" s="32">
        <f t="shared" si="19"/>
        <v>1423311.8124214846</v>
      </c>
      <c r="AV12" s="29">
        <f t="shared" si="13"/>
        <v>118609.31770179038</v>
      </c>
      <c r="AW12" s="17">
        <f t="shared" si="14"/>
        <v>23592527.839033555</v>
      </c>
      <c r="AX12" s="17">
        <f t="shared" si="20"/>
        <v>25951780.622936912</v>
      </c>
      <c r="AY12" s="30">
        <f t="shared" si="15"/>
        <v>3.7413933912365485E-2</v>
      </c>
      <c r="AZ12" s="31">
        <f t="shared" si="16"/>
        <v>37451.312652627545</v>
      </c>
    </row>
    <row r="13" spans="1:52">
      <c r="A13" s="10">
        <v>35</v>
      </c>
      <c r="B13" s="32">
        <f t="shared" si="17"/>
        <v>32577.892535548835</v>
      </c>
      <c r="C13" s="22">
        <f t="shared" si="0"/>
        <v>4886.6838803323253</v>
      </c>
      <c r="D13" s="32">
        <f t="shared" si="1"/>
        <v>58640.2065639879</v>
      </c>
      <c r="E13" s="32">
        <f t="shared" si="2"/>
        <v>20</v>
      </c>
      <c r="F13" s="22">
        <f t="shared" si="3"/>
        <v>394501.98668767186</v>
      </c>
      <c r="H13" t="s">
        <v>45</v>
      </c>
      <c r="J13" s="6">
        <f t="shared" si="4"/>
        <v>300934.71042658604</v>
      </c>
      <c r="K13" s="7"/>
      <c r="L13" s="7"/>
      <c r="M13" s="8">
        <f>IF(J13&lt;=150000,0,IF(J13&lt;=300000,(J13-150000)*0.05,IF(J13&lt;=500000,(J13-300000)*0.1+7500,IF(J13&lt;=750000,(J13-500000)*0.15+27500,IF(J13&lt;=1000000,(J13-750000)*0.2+65000,IF(J13&lt;=2000000,(J13-1000000)*0.25+115000,IF(J13&lt;=4000000,(J13-2000000)*0.3+365000,IF(J13&gt;4000000,(J13-4000000)*0.35+965000))))))))</f>
        <v>7593.4710426586043</v>
      </c>
      <c r="O13" s="16">
        <f t="shared" si="6"/>
        <v>58640.2065639879</v>
      </c>
      <c r="P13" s="17">
        <f t="shared" si="7"/>
        <v>242294.50386259815</v>
      </c>
      <c r="Q13" s="7"/>
      <c r="R13" s="7"/>
      <c r="S13" s="19">
        <f t="shared" si="8"/>
        <v>4614.7251931299079</v>
      </c>
      <c r="U13" s="16">
        <f t="shared" si="21"/>
        <v>58640.2065639879</v>
      </c>
      <c r="V13" s="17">
        <f t="shared" si="9"/>
        <v>183654.29729861027</v>
      </c>
      <c r="W13" s="7"/>
      <c r="X13" s="7"/>
      <c r="Y13" s="19">
        <f t="shared" si="10"/>
        <v>1682.7148649305136</v>
      </c>
      <c r="Z13" s="26">
        <f>U13*1.1^E13</f>
        <v>394501.98668767186</v>
      </c>
      <c r="AB13" s="16">
        <f>AB12*1.4</f>
        <v>18592</v>
      </c>
      <c r="AC13" s="17">
        <f t="shared" si="22"/>
        <v>165062.29729861027</v>
      </c>
      <c r="AD13" s="7">
        <f t="shared" ref="AD13:AD33" si="24">AC13/AC12</f>
        <v>1.04905938066488</v>
      </c>
      <c r="AE13" s="7"/>
      <c r="AF13" s="19">
        <f t="shared" si="11"/>
        <v>753.11486493051348</v>
      </c>
      <c r="AG13" s="26">
        <f t="shared" si="23"/>
        <v>33579.220074973731</v>
      </c>
      <c r="AI13" s="16">
        <f>((B13*12)-O13-U13-AB13)/12</f>
        <v>21255.191441550855</v>
      </c>
      <c r="AJ13" s="7"/>
      <c r="AK13" s="7"/>
      <c r="AL13" s="7"/>
      <c r="AM13" s="22">
        <f>AI13/(1.03^(A13-25))</f>
        <v>15815.858611622943</v>
      </c>
      <c r="AO13" s="16">
        <f t="shared" si="12"/>
        <v>21825.221123028194</v>
      </c>
      <c r="AP13" s="7"/>
      <c r="AQ13" s="22">
        <f>AO13/(1.03^(A13-25))</f>
        <v>16240.014228920751</v>
      </c>
      <c r="AS13" s="10">
        <v>65</v>
      </c>
      <c r="AT13" s="17">
        <f t="shared" si="18"/>
        <v>25951780.622936912</v>
      </c>
      <c r="AU13" s="32">
        <f t="shared" si="19"/>
        <v>1480244.2849183441</v>
      </c>
      <c r="AV13" s="29">
        <f t="shared" si="13"/>
        <v>123353.69040986201</v>
      </c>
      <c r="AW13" s="17">
        <f t="shared" si="14"/>
        <v>24471536.338018566</v>
      </c>
      <c r="AX13" s="17">
        <f t="shared" si="20"/>
        <v>26918689.971820425</v>
      </c>
      <c r="AY13" s="30">
        <f t="shared" si="15"/>
        <v>3.7257919328623323E-2</v>
      </c>
      <c r="AZ13" s="31">
        <f t="shared" si="16"/>
        <v>37814.917629837539</v>
      </c>
    </row>
    <row r="14" spans="1:52">
      <c r="A14" s="10">
        <v>36</v>
      </c>
      <c r="B14" s="32">
        <f t="shared" si="17"/>
        <v>34206.787162326276</v>
      </c>
      <c r="C14" s="22">
        <f t="shared" si="0"/>
        <v>5131.0180743489409</v>
      </c>
      <c r="D14" s="32">
        <f t="shared" si="1"/>
        <v>61572.216892187294</v>
      </c>
      <c r="E14" s="32">
        <f t="shared" si="2"/>
        <v>19</v>
      </c>
      <c r="F14" s="22">
        <f t="shared" si="3"/>
        <v>376570.07820186863</v>
      </c>
      <c r="J14" s="6">
        <f t="shared" si="4"/>
        <v>320481.44594791532</v>
      </c>
      <c r="K14" s="7"/>
      <c r="L14" s="7"/>
      <c r="M14" s="8">
        <f t="shared" ref="M14:M33" si="25">IF(J14&lt;=150000,0,IF(J14&lt;=300000,(J14-150000)*0.05,IF(J14&lt;=500000,(J14-300000)*0.1+7500,IF(J14&lt;=750000,(J14-500000)*0.15+27500,IF(J14&lt;=1000000,(J14-750000)*0.2+65000,IF(J14&lt;=2000000,(J14-1000000)*0.25+115000,IF(J14&lt;=4000000,(J14-2000000)*0.3+365000,IF(J14&gt;4000000,(J14-4000000)*0.35+965000))))))))</f>
        <v>9548.1445947915308</v>
      </c>
      <c r="O14" s="16">
        <f t="shared" si="6"/>
        <v>61572.216892187294</v>
      </c>
      <c r="P14" s="17">
        <f t="shared" si="7"/>
        <v>258909.22905572801</v>
      </c>
      <c r="Q14" s="7"/>
      <c r="R14" s="7"/>
      <c r="S14" s="19">
        <f t="shared" si="8"/>
        <v>5445.4614527864005</v>
      </c>
      <c r="U14" s="16">
        <f t="shared" si="21"/>
        <v>61572.216892187294</v>
      </c>
      <c r="V14" s="17">
        <f t="shared" si="9"/>
        <v>197337.0121635407</v>
      </c>
      <c r="W14" s="7"/>
      <c r="X14" s="7"/>
      <c r="Y14" s="19">
        <f t="shared" si="10"/>
        <v>2366.8506081770352</v>
      </c>
      <c r="Z14" s="26">
        <f>U14*1.1^E14</f>
        <v>376570.07820186863</v>
      </c>
      <c r="AB14" s="16">
        <f>AB13*1.3</f>
        <v>24169.600000000002</v>
      </c>
      <c r="AC14" s="17">
        <f t="shared" si="22"/>
        <v>173167.41216354069</v>
      </c>
      <c r="AD14" s="7">
        <f t="shared" si="24"/>
        <v>1.0491033688345417</v>
      </c>
      <c r="AE14" s="7"/>
      <c r="AF14" s="19">
        <f t="shared" si="11"/>
        <v>1158.3706081770347</v>
      </c>
      <c r="AG14" s="26">
        <f t="shared" si="23"/>
        <v>42381.539900452284</v>
      </c>
      <c r="AI14" s="16">
        <f>((B14*12)-O14-U14-AB14)/12</f>
        <v>21930.617680295061</v>
      </c>
      <c r="AJ14" s="7"/>
      <c r="AK14" s="7"/>
      <c r="AL14" s="7"/>
      <c r="AM14" s="22">
        <f>AI14/(1.03^(A14-25))</f>
        <v>15843.144821198146</v>
      </c>
      <c r="AO14" s="16">
        <f t="shared" si="12"/>
        <v>22629.765512512935</v>
      </c>
      <c r="AP14" s="7"/>
      <c r="AQ14" s="22">
        <f>AO14/(1.03^(A14-25))</f>
        <v>16348.224090680238</v>
      </c>
      <c r="AS14" s="10">
        <v>66</v>
      </c>
      <c r="AT14" s="17">
        <f t="shared" si="18"/>
        <v>26918689.971820425</v>
      </c>
      <c r="AU14" s="32">
        <f t="shared" si="19"/>
        <v>1539454.0563150779</v>
      </c>
      <c r="AV14" s="29">
        <f t="shared" si="13"/>
        <v>128287.83802625649</v>
      </c>
      <c r="AW14" s="17">
        <f t="shared" si="14"/>
        <v>25379235.915505346</v>
      </c>
      <c r="AX14" s="17">
        <f t="shared" si="20"/>
        <v>27917159.507055882</v>
      </c>
      <c r="AY14" s="30">
        <f t="shared" si="15"/>
        <v>3.709205523302566E-2</v>
      </c>
      <c r="AZ14" s="31">
        <f t="shared" si="16"/>
        <v>38182.052752457312</v>
      </c>
    </row>
    <row r="15" spans="1:52">
      <c r="A15" s="10">
        <v>37</v>
      </c>
      <c r="B15" s="32">
        <f t="shared" si="17"/>
        <v>35917.126520442594</v>
      </c>
      <c r="C15" s="22">
        <f t="shared" si="0"/>
        <v>5387.5689780663888</v>
      </c>
      <c r="D15" s="32">
        <f t="shared" si="1"/>
        <v>64650.827736796666</v>
      </c>
      <c r="E15" s="32">
        <f t="shared" si="2"/>
        <v>18</v>
      </c>
      <c r="F15" s="22">
        <f t="shared" si="3"/>
        <v>359453.25646541995</v>
      </c>
      <c r="J15" s="6">
        <f t="shared" si="4"/>
        <v>341005.5182453111</v>
      </c>
      <c r="K15" s="7"/>
      <c r="L15" s="7"/>
      <c r="M15" s="8">
        <f t="shared" si="25"/>
        <v>11600.55182453111</v>
      </c>
      <c r="O15" s="16">
        <f t="shared" si="6"/>
        <v>64650.827736796666</v>
      </c>
      <c r="P15" s="17">
        <f t="shared" si="7"/>
        <v>276354.69050851441</v>
      </c>
      <c r="Q15" s="7"/>
      <c r="R15" s="7"/>
      <c r="S15" s="19">
        <f t="shared" si="8"/>
        <v>6317.7345254257207</v>
      </c>
      <c r="U15" s="16">
        <f t="shared" si="21"/>
        <v>64650.827736796666</v>
      </c>
      <c r="V15" s="17">
        <f t="shared" si="9"/>
        <v>211703.86277171774</v>
      </c>
      <c r="W15" s="7"/>
      <c r="X15" s="7"/>
      <c r="Y15" s="19">
        <f t="shared" si="10"/>
        <v>3085.1931385858875</v>
      </c>
      <c r="Z15" s="26">
        <f>U15*1.1^E15</f>
        <v>359453.25646541995</v>
      </c>
      <c r="AB15" s="16">
        <f>AB14*1.24</f>
        <v>29970.304000000004</v>
      </c>
      <c r="AC15" s="17">
        <f t="shared" si="22"/>
        <v>181733.55877171774</v>
      </c>
      <c r="AD15" s="7">
        <f t="shared" si="24"/>
        <v>1.0494674286642749</v>
      </c>
      <c r="AE15" s="7"/>
      <c r="AF15" s="19">
        <f t="shared" si="11"/>
        <v>1586.6779385858872</v>
      </c>
      <c r="AG15" s="26">
        <f t="shared" si="23"/>
        <v>51022.436385010522</v>
      </c>
      <c r="AI15" s="16">
        <f>((B15*12)-O15-U15-AB15)/12</f>
        <v>22644.463230976475</v>
      </c>
      <c r="AJ15" s="7"/>
      <c r="AK15" s="7"/>
      <c r="AL15" s="7"/>
      <c r="AM15" s="22">
        <f>AI15/(1.03^(A15-25))</f>
        <v>15882.370907976467</v>
      </c>
      <c r="AO15" s="16">
        <f t="shared" si="12"/>
        <v>23478.952721471909</v>
      </c>
      <c r="AP15" s="7"/>
      <c r="AQ15" s="22">
        <f>AO15/(1.03^(A15-25))</f>
        <v>16467.665046842449</v>
      </c>
      <c r="AS15" s="10">
        <v>67</v>
      </c>
      <c r="AT15" s="17">
        <f t="shared" si="18"/>
        <v>27917159.507055882</v>
      </c>
      <c r="AU15" s="32">
        <f t="shared" si="19"/>
        <v>1601032.218567681</v>
      </c>
      <c r="AV15" s="29">
        <f t="shared" si="13"/>
        <v>133419.35154730675</v>
      </c>
      <c r="AW15" s="17">
        <f t="shared" si="14"/>
        <v>26316127.288488202</v>
      </c>
      <c r="AX15" s="17">
        <f t="shared" si="20"/>
        <v>28947740.017337024</v>
      </c>
      <c r="AY15" s="30">
        <f t="shared" si="15"/>
        <v>3.6915665077626156E-2</v>
      </c>
      <c r="AZ15" s="31">
        <f t="shared" si="16"/>
        <v>38552.752293743302</v>
      </c>
    </row>
    <row r="16" spans="1:52">
      <c r="A16" s="10">
        <v>38</v>
      </c>
      <c r="B16" s="32">
        <f t="shared" si="17"/>
        <v>37712.982846464729</v>
      </c>
      <c r="C16" s="22">
        <f t="shared" si="0"/>
        <v>5656.9474269697093</v>
      </c>
      <c r="D16" s="32">
        <f t="shared" si="1"/>
        <v>67883.369123636512</v>
      </c>
      <c r="E16" s="32">
        <f t="shared" si="2"/>
        <v>17</v>
      </c>
      <c r="F16" s="22">
        <f t="shared" si="3"/>
        <v>343114.47208062821</v>
      </c>
      <c r="J16" s="6">
        <f t="shared" si="4"/>
        <v>362555.79415757675</v>
      </c>
      <c r="K16" s="7"/>
      <c r="L16" s="7"/>
      <c r="M16" s="8">
        <f t="shared" si="25"/>
        <v>13755.579415757675</v>
      </c>
      <c r="O16" s="16">
        <f t="shared" si="6"/>
        <v>67883.369123636512</v>
      </c>
      <c r="P16" s="17">
        <f t="shared" si="7"/>
        <v>294672.42503394024</v>
      </c>
      <c r="Q16" s="7"/>
      <c r="R16" s="7"/>
      <c r="S16" s="19">
        <f t="shared" si="8"/>
        <v>7233.6212516970118</v>
      </c>
      <c r="U16" s="16">
        <f t="shared" si="21"/>
        <v>67883.369123636512</v>
      </c>
      <c r="V16" s="17">
        <f t="shared" si="9"/>
        <v>226789.05591030372</v>
      </c>
      <c r="W16" s="7"/>
      <c r="X16" s="7"/>
      <c r="Y16" s="19">
        <f t="shared" si="10"/>
        <v>3839.4527955151862</v>
      </c>
      <c r="Z16" s="26">
        <f>U16*1.1^E16</f>
        <v>343114.47208062821</v>
      </c>
      <c r="AB16" s="16">
        <f t="shared" ref="AB16" si="26">AB15*1.2</f>
        <v>35964.364800000003</v>
      </c>
      <c r="AC16" s="17">
        <f t="shared" si="22"/>
        <v>190824.69111030371</v>
      </c>
      <c r="AD16" s="7">
        <f t="shared" si="24"/>
        <v>1.0500245106078931</v>
      </c>
      <c r="AE16" s="7"/>
      <c r="AF16" s="19">
        <f t="shared" si="11"/>
        <v>2041.2345555151858</v>
      </c>
      <c r="AG16" s="26">
        <f t="shared" si="23"/>
        <v>59443.615205837501</v>
      </c>
      <c r="AI16" s="16">
        <f>((B16*12)-O16-U16-AB16)/12</f>
        <v>23402.057592525311</v>
      </c>
      <c r="AJ16" s="7"/>
      <c r="AK16" s="7"/>
      <c r="AL16" s="7"/>
      <c r="AM16" s="22">
        <f>AI16/(1.03^(A16-25))</f>
        <v>15935.662476227633</v>
      </c>
      <c r="AO16" s="16">
        <f t="shared" si="12"/>
        <v>24378.252997545518</v>
      </c>
      <c r="AP16" s="7"/>
      <c r="AQ16" s="22">
        <f>AO16/(1.03^(A16-25))</f>
        <v>16600.404045371328</v>
      </c>
      <c r="AS16" s="10">
        <v>68</v>
      </c>
      <c r="AT16" s="17">
        <f t="shared" si="18"/>
        <v>28947740.017337024</v>
      </c>
      <c r="AU16" s="32">
        <f t="shared" si="19"/>
        <v>1665073.5073103884</v>
      </c>
      <c r="AV16" s="29">
        <f t="shared" si="13"/>
        <v>138756.12560919902</v>
      </c>
      <c r="AW16" s="17">
        <f t="shared" si="14"/>
        <v>27282666.510026637</v>
      </c>
      <c r="AX16" s="17">
        <f t="shared" si="20"/>
        <v>30010933.161029305</v>
      </c>
      <c r="AY16" s="30">
        <f t="shared" si="15"/>
        <v>3.6728018942256857E-2</v>
      </c>
      <c r="AZ16" s="31">
        <f t="shared" si="16"/>
        <v>38927.05085970198</v>
      </c>
    </row>
    <row r="17" spans="1:52">
      <c r="A17" s="10">
        <v>39</v>
      </c>
      <c r="B17" s="32">
        <f t="shared" si="17"/>
        <v>39598.631988787965</v>
      </c>
      <c r="C17" s="22">
        <f t="shared" si="0"/>
        <v>5939.7947983181948</v>
      </c>
      <c r="D17" s="32">
        <f t="shared" si="1"/>
        <v>71277.537579818338</v>
      </c>
      <c r="E17" s="32">
        <f t="shared" si="2"/>
        <v>16</v>
      </c>
      <c r="F17" s="22">
        <f t="shared" si="3"/>
        <v>327518.35971332691</v>
      </c>
      <c r="J17" s="6">
        <f t="shared" si="4"/>
        <v>385183.58386545558</v>
      </c>
      <c r="K17" s="7"/>
      <c r="L17" s="7"/>
      <c r="M17" s="8">
        <f t="shared" si="25"/>
        <v>16018.358386545558</v>
      </c>
      <c r="O17" s="16">
        <f t="shared" si="6"/>
        <v>71277.537579818338</v>
      </c>
      <c r="P17" s="17">
        <f t="shared" si="7"/>
        <v>313906.04628563725</v>
      </c>
      <c r="Q17" s="7"/>
      <c r="R17" s="7"/>
      <c r="S17" s="19">
        <f t="shared" si="8"/>
        <v>8890.604628563724</v>
      </c>
      <c r="U17" s="16">
        <f t="shared" si="21"/>
        <v>71277.537579818338</v>
      </c>
      <c r="V17" s="17">
        <f t="shared" si="9"/>
        <v>242628.50870581891</v>
      </c>
      <c r="W17" s="7"/>
      <c r="X17" s="7"/>
      <c r="Y17" s="19">
        <f t="shared" si="10"/>
        <v>4631.4254352909456</v>
      </c>
      <c r="Z17" s="26">
        <f>U17*1.1^E17</f>
        <v>327518.35971332691</v>
      </c>
      <c r="AB17" s="16">
        <f>AB16*1.18</f>
        <v>42437.950464000001</v>
      </c>
      <c r="AC17" s="17">
        <f t="shared" si="22"/>
        <v>200190.55824181892</v>
      </c>
      <c r="AD17" s="7">
        <f t="shared" si="24"/>
        <v>1.0490810024479558</v>
      </c>
      <c r="AE17" s="7"/>
      <c r="AF17" s="19">
        <f t="shared" si="11"/>
        <v>2509.5279120909458</v>
      </c>
      <c r="AG17" s="26">
        <f t="shared" si="23"/>
        <v>68100.452371736159</v>
      </c>
      <c r="AI17" s="16">
        <f>((B17*12)-O17-U17-AB17)/12</f>
        <v>24182.546520151576</v>
      </c>
      <c r="AJ17" s="7"/>
      <c r="AK17" s="7"/>
      <c r="AL17" s="7"/>
      <c r="AM17" s="22">
        <f>AI17/(1.03^(A17-25))</f>
        <v>15987.512094509297</v>
      </c>
      <c r="AO17" s="16">
        <f t="shared" si="12"/>
        <v>25308.282393022793</v>
      </c>
      <c r="AP17" s="7"/>
      <c r="AQ17" s="22">
        <f>AO17/(1.03^(A17-25))</f>
        <v>16731.756124713225</v>
      </c>
      <c r="AS17" s="10">
        <v>69</v>
      </c>
      <c r="AT17" s="17">
        <f t="shared" si="18"/>
        <v>30010933.161029305</v>
      </c>
      <c r="AU17" s="32">
        <f t="shared" si="19"/>
        <v>1731676.4476028041</v>
      </c>
      <c r="AV17" s="29">
        <f t="shared" si="13"/>
        <v>144306.37063356701</v>
      </c>
      <c r="AW17" s="17">
        <f t="shared" si="14"/>
        <v>28279256.713426501</v>
      </c>
      <c r="AX17" s="17">
        <f t="shared" si="20"/>
        <v>31107182.384769153</v>
      </c>
      <c r="AY17" s="30">
        <f t="shared" si="15"/>
        <v>3.6528328454757342E-2</v>
      </c>
      <c r="AZ17" s="31">
        <f t="shared" si="16"/>
        <v>39304.983392320457</v>
      </c>
    </row>
    <row r="18" spans="1:52">
      <c r="A18" s="10">
        <v>40</v>
      </c>
      <c r="B18" s="32">
        <f t="shared" si="17"/>
        <v>41578.563588227364</v>
      </c>
      <c r="C18" s="22">
        <f t="shared" si="0"/>
        <v>6236.7845382341047</v>
      </c>
      <c r="D18" s="32">
        <f t="shared" si="1"/>
        <v>74841.41445880926</v>
      </c>
      <c r="E18" s="32">
        <f t="shared" si="2"/>
        <v>15</v>
      </c>
      <c r="F18" s="22">
        <f t="shared" si="3"/>
        <v>312631.16154453933</v>
      </c>
      <c r="J18" s="6">
        <f t="shared" si="4"/>
        <v>408942.76305872836</v>
      </c>
      <c r="K18" s="7"/>
      <c r="L18" s="7"/>
      <c r="M18" s="8">
        <f t="shared" si="25"/>
        <v>18394.276305872838</v>
      </c>
      <c r="O18" s="16">
        <f t="shared" si="6"/>
        <v>74841.41445880926</v>
      </c>
      <c r="P18" s="17">
        <f t="shared" si="7"/>
        <v>334101.34859991912</v>
      </c>
      <c r="Q18" s="7"/>
      <c r="R18" s="7"/>
      <c r="S18" s="19">
        <f t="shared" si="8"/>
        <v>10910.134859991911</v>
      </c>
      <c r="U18" s="16">
        <f t="shared" si="21"/>
        <v>74841.41445880926</v>
      </c>
      <c r="V18" s="17">
        <f t="shared" si="9"/>
        <v>259259.93414110987</v>
      </c>
      <c r="W18" s="7"/>
      <c r="X18" s="7"/>
      <c r="Y18" s="19">
        <f t="shared" si="10"/>
        <v>5462.996707055494</v>
      </c>
      <c r="Z18" s="26">
        <f>U18*1.1^E18</f>
        <v>312631.16154453933</v>
      </c>
      <c r="AB18" s="16">
        <f>AB17*1.15</f>
        <v>48803.643033599998</v>
      </c>
      <c r="AC18" s="17">
        <f t="shared" si="22"/>
        <v>210456.29110750987</v>
      </c>
      <c r="AD18" s="7">
        <f t="shared" si="24"/>
        <v>1.051279805380684</v>
      </c>
      <c r="AE18" s="7"/>
      <c r="AF18" s="19">
        <f t="shared" si="11"/>
        <v>3022.8145553754935</v>
      </c>
      <c r="AG18" s="26">
        <f t="shared" si="23"/>
        <v>76034.485657763682</v>
      </c>
      <c r="AI18" s="16">
        <f>((B18*12)-O18-U18-AB18)/12</f>
        <v>25038.024258959154</v>
      </c>
      <c r="AJ18" s="7"/>
      <c r="AK18" s="7"/>
      <c r="AL18" s="7"/>
      <c r="AM18" s="22">
        <f>AI18/(1.03^(A18-25))</f>
        <v>16070.955009821782</v>
      </c>
      <c r="AO18" s="16">
        <f t="shared" si="12"/>
        <v>26318.979404833932</v>
      </c>
      <c r="AP18" s="7"/>
      <c r="AQ18" s="22">
        <f>AO18/(1.03^(A18-25))</f>
        <v>16893.151374280813</v>
      </c>
      <c r="AS18" s="10">
        <v>70</v>
      </c>
      <c r="AT18" s="17">
        <f t="shared" si="18"/>
        <v>31107182.384769153</v>
      </c>
      <c r="AU18" s="32">
        <f t="shared" si="19"/>
        <v>1800943.5055069162</v>
      </c>
      <c r="AV18" s="29">
        <f t="shared" si="13"/>
        <v>150078.62545890969</v>
      </c>
      <c r="AW18" s="17">
        <f t="shared" si="14"/>
        <v>29306238.879262235</v>
      </c>
      <c r="AX18" s="17">
        <f t="shared" si="20"/>
        <v>32236862.76718846</v>
      </c>
      <c r="AY18" s="30">
        <f t="shared" si="15"/>
        <v>3.631574111875932E-2</v>
      </c>
      <c r="AZ18" s="31">
        <f t="shared" si="16"/>
        <v>39686.585172828425</v>
      </c>
    </row>
    <row r="19" spans="1:52">
      <c r="A19" s="10">
        <v>41</v>
      </c>
      <c r="B19" s="32">
        <f t="shared" si="17"/>
        <v>43657.491767638734</v>
      </c>
      <c r="C19" s="22">
        <f t="shared" si="0"/>
        <v>6548.6237651458096</v>
      </c>
      <c r="D19" s="32">
        <f t="shared" si="1"/>
        <v>78583.485181749711</v>
      </c>
      <c r="E19" s="32">
        <f t="shared" si="2"/>
        <v>14</v>
      </c>
      <c r="F19" s="22">
        <f t="shared" si="3"/>
        <v>298420.65420160571</v>
      </c>
      <c r="J19" s="6">
        <f t="shared" si="4"/>
        <v>433889.90121166478</v>
      </c>
      <c r="K19" s="7"/>
      <c r="L19" s="7"/>
      <c r="M19" s="8">
        <f t="shared" si="25"/>
        <v>20888.990121166476</v>
      </c>
      <c r="O19" s="16">
        <f t="shared" si="6"/>
        <v>78583.485181749711</v>
      </c>
      <c r="P19" s="17">
        <f t="shared" si="7"/>
        <v>355306.4160299151</v>
      </c>
      <c r="Q19" s="7"/>
      <c r="R19" s="7"/>
      <c r="S19" s="19">
        <f t="shared" si="8"/>
        <v>13030.641602991509</v>
      </c>
      <c r="U19" s="16">
        <f t="shared" si="21"/>
        <v>78583.485181749711</v>
      </c>
      <c r="V19" s="17">
        <f t="shared" si="9"/>
        <v>276722.93084816542</v>
      </c>
      <c r="W19" s="7"/>
      <c r="X19" s="7"/>
      <c r="Y19" s="19">
        <f t="shared" si="10"/>
        <v>6336.1465424082708</v>
      </c>
      <c r="Z19" s="26">
        <f>U19*1.1^E19</f>
        <v>298420.65420160571</v>
      </c>
      <c r="AB19" s="16">
        <f>AB18*1.14</f>
        <v>55636.153058303993</v>
      </c>
      <c r="AC19" s="17">
        <f t="shared" si="22"/>
        <v>221086.77778986143</v>
      </c>
      <c r="AD19" s="7">
        <f t="shared" si="24"/>
        <v>1.050511612774365</v>
      </c>
      <c r="AE19" s="7"/>
      <c r="AF19" s="19">
        <f t="shared" si="11"/>
        <v>3554.3388894930717</v>
      </c>
      <c r="AG19" s="26">
        <f t="shared" si="23"/>
        <v>84154.673446456873</v>
      </c>
      <c r="AI19" s="16">
        <f>((B19*12)-O19-U19-AB19)/12</f>
        <v>25923.89814915512</v>
      </c>
      <c r="AJ19" s="7"/>
      <c r="AK19" s="7"/>
      <c r="AL19" s="7"/>
      <c r="AM19" s="22">
        <f>AI19/(1.03^(A19-25))</f>
        <v>16154.916262262985</v>
      </c>
      <c r="AO19" s="16">
        <f t="shared" si="12"/>
        <v>27368.452418461238</v>
      </c>
      <c r="AP19" s="7"/>
      <c r="AQ19" s="22">
        <f>AO19/(1.03^(A19-25))</f>
        <v>17055.114724803825</v>
      </c>
      <c r="AS19" s="10">
        <v>71</v>
      </c>
      <c r="AT19" s="17">
        <f t="shared" si="18"/>
        <v>32236862.76718846</v>
      </c>
      <c r="AU19" s="32">
        <f t="shared" si="19"/>
        <v>1872981.2457271928</v>
      </c>
      <c r="AV19" s="29">
        <f t="shared" si="13"/>
        <v>156081.77047726608</v>
      </c>
      <c r="AW19" s="17">
        <f t="shared" si="14"/>
        <v>30363881.521461267</v>
      </c>
      <c r="AX19" s="17">
        <f t="shared" si="20"/>
        <v>33400269.673607398</v>
      </c>
      <c r="AY19" s="30">
        <f t="shared" si="15"/>
        <v>3.6089333965930608E-2</v>
      </c>
      <c r="AZ19" s="31">
        <f t="shared" si="16"/>
        <v>40071.891824991806</v>
      </c>
    </row>
    <row r="20" spans="1:52">
      <c r="A20" s="10">
        <v>42</v>
      </c>
      <c r="B20" s="32">
        <f t="shared" si="17"/>
        <v>45840.36635602067</v>
      </c>
      <c r="C20" s="22">
        <f t="shared" si="0"/>
        <v>6876.0549534031006</v>
      </c>
      <c r="D20" s="32">
        <f t="shared" si="1"/>
        <v>82512.659440837204</v>
      </c>
      <c r="E20" s="32">
        <f t="shared" si="2"/>
        <v>13</v>
      </c>
      <c r="F20" s="22">
        <f t="shared" si="3"/>
        <v>284856.07901062357</v>
      </c>
      <c r="J20" s="6">
        <f t="shared" si="4"/>
        <v>460084.39627224801</v>
      </c>
      <c r="K20" s="7"/>
      <c r="L20" s="7"/>
      <c r="M20" s="8">
        <f t="shared" si="25"/>
        <v>23508.439627224801</v>
      </c>
      <c r="O20" s="16">
        <f t="shared" si="6"/>
        <v>82512.659440837204</v>
      </c>
      <c r="P20" s="17">
        <f t="shared" si="7"/>
        <v>377571.73683141079</v>
      </c>
      <c r="Q20" s="7"/>
      <c r="R20" s="7"/>
      <c r="S20" s="19">
        <f t="shared" si="8"/>
        <v>15257.173683141078</v>
      </c>
      <c r="U20" s="16">
        <f t="shared" si="21"/>
        <v>82512.659440837204</v>
      </c>
      <c r="V20" s="17">
        <f t="shared" si="9"/>
        <v>295059.07739057357</v>
      </c>
      <c r="W20" s="7"/>
      <c r="X20" s="7"/>
      <c r="Y20" s="19">
        <f t="shared" si="10"/>
        <v>7252.9538695286792</v>
      </c>
      <c r="Z20" s="26">
        <f>U20*1.1^E20</f>
        <v>284856.07901062357</v>
      </c>
      <c r="AB20" s="16">
        <f>AB19*1.13</f>
        <v>62868.852955883507</v>
      </c>
      <c r="AC20" s="17">
        <f t="shared" si="22"/>
        <v>232190.22443469006</v>
      </c>
      <c r="AD20" s="7">
        <f t="shared" si="24"/>
        <v>1.0502221198202193</v>
      </c>
      <c r="AE20" s="7"/>
      <c r="AF20" s="19">
        <f t="shared" si="11"/>
        <v>4109.5112217345031</v>
      </c>
      <c r="AG20" s="26">
        <f t="shared" si="23"/>
        <v>92325.030091743931</v>
      </c>
      <c r="AI20" s="16">
        <f>((B20*12)-O20-U20-AB20)/12</f>
        <v>26849.185369557508</v>
      </c>
      <c r="AJ20" s="7"/>
      <c r="AK20" s="7"/>
      <c r="AL20" s="7"/>
      <c r="AM20" s="22">
        <f>AI20/(1.03^(A20-25))</f>
        <v>16244.198706117115</v>
      </c>
      <c r="AO20" s="16">
        <f t="shared" si="12"/>
        <v>28465.7627366817</v>
      </c>
      <c r="AP20" s="7"/>
      <c r="AQ20" s="22">
        <f>AO20/(1.03^(A20-25))</f>
        <v>17222.254599207692</v>
      </c>
      <c r="AS20" s="10">
        <v>72</v>
      </c>
      <c r="AT20" s="17">
        <f t="shared" si="18"/>
        <v>33400269.673607398</v>
      </c>
      <c r="AU20" s="32">
        <f t="shared" si="19"/>
        <v>1947900.4955562807</v>
      </c>
      <c r="AV20" s="29">
        <f t="shared" si="13"/>
        <v>162325.04129635674</v>
      </c>
      <c r="AW20" s="17">
        <f t="shared" si="14"/>
        <v>31452369.178051118</v>
      </c>
      <c r="AX20" s="17">
        <f t="shared" si="20"/>
        <v>34597606.095856234</v>
      </c>
      <c r="AY20" s="30">
        <f t="shared" si="15"/>
        <v>3.5848106435947776E-2</v>
      </c>
      <c r="AZ20" s="31">
        <f t="shared" si="16"/>
        <v>40460.93931843833</v>
      </c>
    </row>
    <row r="21" spans="1:52">
      <c r="A21" s="10">
        <v>43</v>
      </c>
      <c r="B21" s="32">
        <f t="shared" si="17"/>
        <v>48132.384673821703</v>
      </c>
      <c r="C21" s="22">
        <f t="shared" si="0"/>
        <v>7219.8577010732552</v>
      </c>
      <c r="D21" s="32">
        <f t="shared" si="1"/>
        <v>86638.292412879062</v>
      </c>
      <c r="E21" s="32">
        <f t="shared" si="2"/>
        <v>12</v>
      </c>
      <c r="F21" s="22">
        <f t="shared" si="3"/>
        <v>271908.07541923161</v>
      </c>
      <c r="J21" s="6">
        <f t="shared" si="4"/>
        <v>487588.61608586041</v>
      </c>
      <c r="K21" s="7"/>
      <c r="L21" s="7"/>
      <c r="M21" s="8">
        <f t="shared" si="25"/>
        <v>26258.861608586041</v>
      </c>
      <c r="O21" s="16">
        <f t="shared" si="6"/>
        <v>86638.292412879062</v>
      </c>
      <c r="P21" s="17">
        <f t="shared" si="7"/>
        <v>400950.32367298135</v>
      </c>
      <c r="Q21" s="7"/>
      <c r="R21" s="7"/>
      <c r="S21" s="19">
        <f t="shared" si="8"/>
        <v>17595.032367298136</v>
      </c>
      <c r="U21" s="16">
        <f t="shared" si="21"/>
        <v>86638.292412879062</v>
      </c>
      <c r="V21" s="17">
        <f t="shared" si="9"/>
        <v>314312.03126010229</v>
      </c>
      <c r="W21" s="7"/>
      <c r="X21" s="7"/>
      <c r="Y21" s="19">
        <f t="shared" si="10"/>
        <v>8931.2031260102285</v>
      </c>
      <c r="Z21" s="26">
        <f>U21*1.1^E21</f>
        <v>271908.07541923161</v>
      </c>
      <c r="AB21" s="16">
        <f>AB20*1.12</f>
        <v>70413.115310589536</v>
      </c>
      <c r="AC21" s="17">
        <f t="shared" si="22"/>
        <v>243898.91594951274</v>
      </c>
      <c r="AD21" s="7">
        <f t="shared" si="24"/>
        <v>1.0504271510281264</v>
      </c>
      <c r="AE21" s="7"/>
      <c r="AF21" s="19">
        <f t="shared" si="11"/>
        <v>4694.9457974756369</v>
      </c>
      <c r="AG21" s="26">
        <f t="shared" si="23"/>
        <v>100392.26573082838</v>
      </c>
      <c r="AI21" s="16">
        <f>((B21*12)-O21-U21-AB21)/12</f>
        <v>27824.909662459395</v>
      </c>
      <c r="AJ21" s="7"/>
      <c r="AK21" s="7"/>
      <c r="AL21" s="7"/>
      <c r="AM21" s="22">
        <f>AI21/(1.03^(A21-25))</f>
        <v>16344.20189313885</v>
      </c>
      <c r="AO21" s="16">
        <f t="shared" si="12"/>
        <v>29621.902646718594</v>
      </c>
      <c r="AP21" s="7"/>
      <c r="AQ21" s="22">
        <f>AO21/(1.03^(A21-25))</f>
        <v>17399.745882016996</v>
      </c>
      <c r="AS21" s="10">
        <v>73</v>
      </c>
      <c r="AT21" s="17">
        <f t="shared" si="18"/>
        <v>34597606.095856234</v>
      </c>
      <c r="AU21" s="32">
        <f t="shared" si="19"/>
        <v>2025816.515378532</v>
      </c>
      <c r="AV21" s="29">
        <f t="shared" si="13"/>
        <v>168818.04294821099</v>
      </c>
      <c r="AW21" s="17">
        <f t="shared" si="14"/>
        <v>32571789.580477703</v>
      </c>
      <c r="AX21" s="17">
        <f t="shared" si="20"/>
        <v>35828968.538525477</v>
      </c>
      <c r="AY21" s="30">
        <f t="shared" si="15"/>
        <v>3.5590972371256732E-2</v>
      </c>
      <c r="AZ21" s="31">
        <f t="shared" si="16"/>
        <v>40853.763972015397</v>
      </c>
    </row>
    <row r="22" spans="1:52">
      <c r="A22" s="10">
        <v>44</v>
      </c>
      <c r="B22" s="32">
        <f t="shared" si="17"/>
        <v>50539.003907512793</v>
      </c>
      <c r="C22" s="22">
        <f t="shared" si="0"/>
        <v>7580.8505861269186</v>
      </c>
      <c r="D22" s="32">
        <f t="shared" si="1"/>
        <v>90970.207033523024</v>
      </c>
      <c r="E22" s="32">
        <f t="shared" si="2"/>
        <v>11</v>
      </c>
      <c r="F22" s="22">
        <f t="shared" si="3"/>
        <v>259548.6174456302</v>
      </c>
      <c r="J22" s="6">
        <f t="shared" si="4"/>
        <v>516468.04689015355</v>
      </c>
      <c r="K22" s="7"/>
      <c r="L22" s="7"/>
      <c r="M22" s="8">
        <f t="shared" si="25"/>
        <v>29970.207033523031</v>
      </c>
      <c r="O22" s="16">
        <f t="shared" si="6"/>
        <v>90970.207033523024</v>
      </c>
      <c r="P22" s="17">
        <f t="shared" si="7"/>
        <v>425497.83985663054</v>
      </c>
      <c r="Q22" s="7"/>
      <c r="R22" s="7"/>
      <c r="S22" s="19">
        <f t="shared" si="8"/>
        <v>20049.783985663053</v>
      </c>
      <c r="U22" s="16">
        <f t="shared" si="21"/>
        <v>90970.207033523024</v>
      </c>
      <c r="V22" s="17">
        <f t="shared" si="9"/>
        <v>334527.63282310753</v>
      </c>
      <c r="W22" s="7"/>
      <c r="X22" s="7"/>
      <c r="Y22" s="19">
        <f t="shared" si="10"/>
        <v>10952.763282310752</v>
      </c>
      <c r="Z22" s="26">
        <f>U22*1.1^E22</f>
        <v>259548.6174456302</v>
      </c>
      <c r="AB22" s="16">
        <f>AB21*1.11</f>
        <v>78158.557994754388</v>
      </c>
      <c r="AC22" s="17">
        <f t="shared" si="22"/>
        <v>256369.07482835313</v>
      </c>
      <c r="AD22" s="7">
        <f t="shared" si="24"/>
        <v>1.0511283899327446</v>
      </c>
      <c r="AE22" s="7"/>
      <c r="AF22" s="19">
        <f t="shared" si="11"/>
        <v>5318.4537414176566</v>
      </c>
      <c r="AG22" s="26">
        <f t="shared" si="23"/>
        <v>108189.72326331992</v>
      </c>
      <c r="AI22" s="16">
        <f>((B22*12)-O22-U22-AB22)/12</f>
        <v>28864.089569029427</v>
      </c>
      <c r="AJ22" s="7"/>
      <c r="AK22" s="7"/>
      <c r="AL22" s="7"/>
      <c r="AM22" s="22">
        <f>AI22/(1.03^(A22-25))</f>
        <v>16460.786957865323</v>
      </c>
      <c r="AO22" s="16">
        <f t="shared" si="12"/>
        <v>30918.402343371541</v>
      </c>
      <c r="AP22" s="7"/>
      <c r="AQ22" s="22">
        <f>AO22/(1.03^(A22-25))</f>
        <v>17632.332827773869</v>
      </c>
      <c r="AS22" s="10">
        <v>74</v>
      </c>
      <c r="AT22" s="17">
        <f t="shared" si="18"/>
        <v>35828968.538525477</v>
      </c>
      <c r="AU22" s="32">
        <f t="shared" si="19"/>
        <v>2106849.1759936735</v>
      </c>
      <c r="AV22" s="29">
        <f t="shared" si="13"/>
        <v>175570.76466613947</v>
      </c>
      <c r="AW22" s="17">
        <f t="shared" si="14"/>
        <v>33722119.362531804</v>
      </c>
      <c r="AX22" s="17">
        <f t="shared" si="20"/>
        <v>37094331.298784986</v>
      </c>
      <c r="AY22" s="30">
        <f t="shared" si="15"/>
        <v>3.5316750994350131E-2</v>
      </c>
      <c r="AZ22" s="31">
        <f t="shared" si="16"/>
        <v>41250.402457180608</v>
      </c>
    </row>
    <row r="23" spans="1:52">
      <c r="A23" s="10">
        <v>45</v>
      </c>
      <c r="B23" s="32">
        <f t="shared" si="17"/>
        <v>53065.954102888434</v>
      </c>
      <c r="C23" s="22">
        <f t="shared" si="0"/>
        <v>7959.8931154332649</v>
      </c>
      <c r="D23" s="32">
        <f t="shared" si="1"/>
        <v>95518.717385199183</v>
      </c>
      <c r="E23" s="32">
        <f t="shared" si="2"/>
        <v>10</v>
      </c>
      <c r="F23" s="22">
        <f t="shared" si="3"/>
        <v>247750.95301628334</v>
      </c>
      <c r="J23" s="6">
        <f t="shared" si="4"/>
        <v>546791.44923466118</v>
      </c>
      <c r="K23" s="7"/>
      <c r="L23" s="7"/>
      <c r="M23" s="8">
        <f t="shared" si="25"/>
        <v>34518.717385199176</v>
      </c>
      <c r="O23" s="16">
        <f t="shared" si="6"/>
        <v>95518.717385199183</v>
      </c>
      <c r="P23" s="17">
        <f t="shared" si="7"/>
        <v>451272.73184946203</v>
      </c>
      <c r="Q23" s="7"/>
      <c r="R23" s="7"/>
      <c r="S23" s="19">
        <f t="shared" si="8"/>
        <v>22627.273184946203</v>
      </c>
      <c r="U23" s="16">
        <f t="shared" si="21"/>
        <v>95518.717385199183</v>
      </c>
      <c r="V23" s="17">
        <f t="shared" si="9"/>
        <v>355754.01446426287</v>
      </c>
      <c r="W23" s="7"/>
      <c r="X23" s="7"/>
      <c r="Y23" s="19">
        <f t="shared" si="10"/>
        <v>13075.401446426287</v>
      </c>
      <c r="Z23" s="26">
        <f>U23*1.1^E23</f>
        <v>247750.95301628334</v>
      </c>
      <c r="AB23" s="16">
        <f>AB22*1.1</f>
        <v>85974.41379422984</v>
      </c>
      <c r="AC23" s="17">
        <f t="shared" si="22"/>
        <v>269779.60067003302</v>
      </c>
      <c r="AD23" s="7">
        <f t="shared" si="24"/>
        <v>1.0523094521078982</v>
      </c>
      <c r="AE23" s="7"/>
      <c r="AF23" s="19">
        <f t="shared" si="11"/>
        <v>5988.9800335016516</v>
      </c>
      <c r="AG23" s="26">
        <f t="shared" si="23"/>
        <v>115542.42290257469</v>
      </c>
      <c r="AI23" s="16">
        <f>((B23*12)-O23-U23-AB23)/12</f>
        <v>29981.633389169419</v>
      </c>
      <c r="AJ23" s="7"/>
      <c r="AK23" s="7"/>
      <c r="AL23" s="7"/>
      <c r="AM23" s="22">
        <f>AI23/(1.03^(A23-25))</f>
        <v>16600.103478486581</v>
      </c>
      <c r="AO23" s="16">
        <f t="shared" si="12"/>
        <v>32359.111501810879</v>
      </c>
      <c r="AP23" s="7"/>
      <c r="AQ23" s="22">
        <f>AO23/(1.03^(A23-25))</f>
        <v>17916.455465564846</v>
      </c>
      <c r="AS23" s="10">
        <v>75</v>
      </c>
      <c r="AT23" s="17">
        <f t="shared" si="18"/>
        <v>37094331.298784986</v>
      </c>
      <c r="AU23" s="32">
        <f t="shared" si="19"/>
        <v>2191123.1430334207</v>
      </c>
      <c r="AV23" s="29">
        <f t="shared" si="13"/>
        <v>182593.59525278505</v>
      </c>
      <c r="AW23" s="17">
        <f t="shared" si="14"/>
        <v>34903208.155751564</v>
      </c>
      <c r="AX23" s="17">
        <f t="shared" si="20"/>
        <v>38393528.971326724</v>
      </c>
      <c r="AY23" s="30">
        <f t="shared" si="15"/>
        <v>3.5024156712168374E-2</v>
      </c>
      <c r="AZ23" s="31">
        <f t="shared" si="16"/>
        <v>41650.891801425081</v>
      </c>
    </row>
    <row r="24" spans="1:52">
      <c r="A24" s="10">
        <v>46</v>
      </c>
      <c r="B24" s="32">
        <f t="shared" si="17"/>
        <v>55719.251808032859</v>
      </c>
      <c r="C24" s="22">
        <f t="shared" si="0"/>
        <v>8357.8877712049289</v>
      </c>
      <c r="D24" s="32">
        <f t="shared" si="1"/>
        <v>100294.65325445915</v>
      </c>
      <c r="E24" s="32">
        <f t="shared" si="2"/>
        <v>9</v>
      </c>
      <c r="F24" s="22">
        <f t="shared" si="3"/>
        <v>236489.54606099773</v>
      </c>
      <c r="J24" s="6">
        <f t="shared" si="4"/>
        <v>578631.02169639431</v>
      </c>
      <c r="K24" s="7"/>
      <c r="L24" s="7"/>
      <c r="M24" s="8">
        <f t="shared" si="25"/>
        <v>39294.653254459146</v>
      </c>
      <c r="O24" s="16">
        <f t="shared" si="6"/>
        <v>100294.65325445915</v>
      </c>
      <c r="P24" s="17">
        <f t="shared" si="7"/>
        <v>478336.36844193516</v>
      </c>
      <c r="Q24" s="7"/>
      <c r="R24" s="7"/>
      <c r="S24" s="19">
        <f t="shared" si="8"/>
        <v>25333.636844193516</v>
      </c>
      <c r="U24" s="16">
        <f t="shared" si="21"/>
        <v>100294.65325445915</v>
      </c>
      <c r="V24" s="17">
        <f t="shared" si="9"/>
        <v>378041.71518747602</v>
      </c>
      <c r="W24" s="7"/>
      <c r="X24" s="7"/>
      <c r="Y24" s="19">
        <f t="shared" si="10"/>
        <v>15304.171518747602</v>
      </c>
      <c r="Z24" s="26">
        <f>U24*1.1^E24</f>
        <v>236489.54606099773</v>
      </c>
      <c r="AB24" s="16">
        <f>AB23*1.1</f>
        <v>94571.855173652832</v>
      </c>
      <c r="AC24" s="17">
        <f t="shared" si="22"/>
        <v>283469.8600138232</v>
      </c>
      <c r="AD24" s="7">
        <f t="shared" si="24"/>
        <v>1.0507460879539765</v>
      </c>
      <c r="AE24" s="7"/>
      <c r="AF24" s="19">
        <f t="shared" si="11"/>
        <v>6673.49300069116</v>
      </c>
      <c r="AG24" s="26">
        <f t="shared" si="23"/>
        <v>123394.82057556522</v>
      </c>
      <c r="AI24" s="16">
        <f>((B24*12)-O24-U24-AB24)/12</f>
        <v>31122.488334485268</v>
      </c>
      <c r="AJ24" s="7"/>
      <c r="AK24" s="7"/>
      <c r="AL24" s="7"/>
      <c r="AM24" s="22">
        <f>AI24/(1.03^(A24-25))</f>
        <v>16729.87106869082</v>
      </c>
      <c r="AO24" s="16">
        <f t="shared" si="12"/>
        <v>33840.918355632602</v>
      </c>
      <c r="AP24" s="7"/>
      <c r="AQ24" s="22">
        <f>AO24/(1.03^(A24-25))</f>
        <v>18191.16115816803</v>
      </c>
      <c r="AS24" s="10">
        <v>76</v>
      </c>
      <c r="AT24" s="17">
        <f t="shared" si="18"/>
        <v>38393528.971326724</v>
      </c>
      <c r="AU24" s="32">
        <f t="shared" si="19"/>
        <v>2278768.0687547578</v>
      </c>
      <c r="AV24" s="29">
        <f t="shared" si="13"/>
        <v>189897.33906289647</v>
      </c>
      <c r="AW24" s="17">
        <f t="shared" si="14"/>
        <v>36114760.902571969</v>
      </c>
      <c r="AX24" s="17">
        <f t="shared" si="20"/>
        <v>39726236.992829166</v>
      </c>
      <c r="AY24" s="30">
        <f t="shared" si="15"/>
        <v>3.4711787564455025E-2</v>
      </c>
      <c r="AZ24" s="31">
        <f t="shared" si="16"/>
        <v>42055.26939173018</v>
      </c>
    </row>
    <row r="25" spans="1:52">
      <c r="A25" s="10">
        <v>47</v>
      </c>
      <c r="B25" s="32">
        <f t="shared" si="17"/>
        <v>58505.214398434502</v>
      </c>
      <c r="C25" s="22">
        <f t="shared" si="0"/>
        <v>8775.7821597651746</v>
      </c>
      <c r="D25" s="32">
        <f t="shared" si="1"/>
        <v>105309.38591718209</v>
      </c>
      <c r="E25" s="32">
        <f t="shared" si="2"/>
        <v>8</v>
      </c>
      <c r="F25" s="22">
        <f t="shared" si="3"/>
        <v>225740.02124004325</v>
      </c>
      <c r="J25" s="6">
        <f t="shared" si="4"/>
        <v>612062.57278121402</v>
      </c>
      <c r="K25" s="7"/>
      <c r="L25" s="7"/>
      <c r="M25" s="8">
        <f t="shared" si="25"/>
        <v>44309.385917182102</v>
      </c>
      <c r="O25" s="16">
        <f t="shared" si="6"/>
        <v>105309.38591718209</v>
      </c>
      <c r="P25" s="17">
        <f t="shared" si="7"/>
        <v>506753.18686403194</v>
      </c>
      <c r="Q25" s="7"/>
      <c r="R25" s="7"/>
      <c r="S25" s="19">
        <f t="shared" si="8"/>
        <v>28512.97802960479</v>
      </c>
      <c r="U25" s="16">
        <f t="shared" si="21"/>
        <v>105309.38591718209</v>
      </c>
      <c r="V25" s="17">
        <f t="shared" si="9"/>
        <v>401443.80094684986</v>
      </c>
      <c r="W25" s="7"/>
      <c r="X25" s="7"/>
      <c r="Y25" s="19">
        <f t="shared" si="10"/>
        <v>17644.380094684988</v>
      </c>
      <c r="Z25" s="26">
        <f>U25*1.1^E25</f>
        <v>225740.02124004325</v>
      </c>
      <c r="AB25" s="16">
        <v>100000</v>
      </c>
      <c r="AC25" s="17">
        <f t="shared" si="22"/>
        <v>301443.80094684986</v>
      </c>
      <c r="AD25" s="7">
        <f t="shared" si="24"/>
        <v>1.0634068854168488</v>
      </c>
      <c r="AE25" s="7"/>
      <c r="AF25" s="19">
        <f t="shared" si="11"/>
        <v>7644.380094684986</v>
      </c>
      <c r="AG25" s="26">
        <f t="shared" si="23"/>
        <v>126677.00813876159</v>
      </c>
      <c r="AI25" s="16">
        <f>((B25*12)-O25-U25-AB25)/12</f>
        <v>32620.316745570821</v>
      </c>
      <c r="AJ25" s="7"/>
      <c r="AK25" s="7"/>
      <c r="AL25" s="7"/>
      <c r="AM25" s="22">
        <f>AI25/(1.03^(A25-25))</f>
        <v>17024.298685928039</v>
      </c>
      <c r="AO25" s="16">
        <f t="shared" si="12"/>
        <v>35675.733897445578</v>
      </c>
      <c r="AP25" s="7"/>
      <c r="AQ25" s="22">
        <f>AO25/(1.03^(A25-25))</f>
        <v>18618.897984559502</v>
      </c>
      <c r="AS25" s="10">
        <v>77</v>
      </c>
      <c r="AT25" s="17">
        <f t="shared" si="18"/>
        <v>39726236.992829166</v>
      </c>
      <c r="AU25" s="32">
        <f t="shared" si="19"/>
        <v>2369918.7915049479</v>
      </c>
      <c r="AV25" s="29">
        <f t="shared" si="13"/>
        <v>197493.23262541232</v>
      </c>
      <c r="AW25" s="17">
        <f t="shared" si="14"/>
        <v>37356318.201324217</v>
      </c>
      <c r="AX25" s="17">
        <f t="shared" si="20"/>
        <v>41091950.021456644</v>
      </c>
      <c r="AY25" s="30">
        <f t="shared" si="15"/>
        <v>3.4378112099416748E-2</v>
      </c>
      <c r="AZ25" s="31">
        <f t="shared" si="16"/>
        <v>42463.572978057658</v>
      </c>
    </row>
    <row r="26" spans="1:52">
      <c r="A26" s="10">
        <v>48</v>
      </c>
      <c r="B26" s="32">
        <f t="shared" si="17"/>
        <v>61430.475118356233</v>
      </c>
      <c r="C26" s="22">
        <f t="shared" si="0"/>
        <v>9214.5712677534339</v>
      </c>
      <c r="D26" s="32">
        <f t="shared" si="1"/>
        <v>110574.85521304121</v>
      </c>
      <c r="E26" s="32">
        <f t="shared" si="2"/>
        <v>7</v>
      </c>
      <c r="F26" s="22">
        <f t="shared" si="3"/>
        <v>215479.11118367768</v>
      </c>
      <c r="J26" s="6">
        <f t="shared" si="4"/>
        <v>647165.7014202748</v>
      </c>
      <c r="K26" s="7"/>
      <c r="L26" s="7"/>
      <c r="M26" s="8">
        <f t="shared" si="25"/>
        <v>49574.855213041214</v>
      </c>
      <c r="O26" s="16">
        <f t="shared" si="6"/>
        <v>110574.85521304121</v>
      </c>
      <c r="P26" s="17">
        <f t="shared" si="7"/>
        <v>536590.84620723361</v>
      </c>
      <c r="Q26" s="7"/>
      <c r="R26" s="7"/>
      <c r="S26" s="19">
        <f t="shared" si="8"/>
        <v>32988.62693108504</v>
      </c>
      <c r="U26" s="16">
        <f t="shared" si="21"/>
        <v>110574.85521304121</v>
      </c>
      <c r="V26" s="17">
        <f t="shared" si="9"/>
        <v>426015.99099419243</v>
      </c>
      <c r="W26" s="7"/>
      <c r="X26" s="7"/>
      <c r="Y26" s="19">
        <f t="shared" si="10"/>
        <v>20101.599099419243</v>
      </c>
      <c r="Z26" s="26">
        <f>U26*1.1^E26</f>
        <v>215479.11118367768</v>
      </c>
      <c r="AB26" s="16">
        <v>100000</v>
      </c>
      <c r="AC26" s="17">
        <f t="shared" si="22"/>
        <v>326015.99099419243</v>
      </c>
      <c r="AD26" s="7">
        <f t="shared" si="24"/>
        <v>1.0815149953993417</v>
      </c>
      <c r="AE26" s="7"/>
      <c r="AF26" s="19">
        <f t="shared" si="11"/>
        <v>10101.599099419243</v>
      </c>
      <c r="AG26" s="26">
        <f t="shared" si="23"/>
        <v>122987.386542487</v>
      </c>
      <c r="AI26" s="16">
        <f>((B26*12)-O26-U26-AB26)/12</f>
        <v>34667.999249516033</v>
      </c>
      <c r="AJ26" s="7"/>
      <c r="AK26" s="7"/>
      <c r="AL26" s="7"/>
      <c r="AM26" s="22">
        <f>AI26/(1.03^(A26-25))</f>
        <v>17565.989154296622</v>
      </c>
      <c r="AO26" s="16">
        <f t="shared" si="12"/>
        <v>37957.43725898453</v>
      </c>
      <c r="AP26" s="7"/>
      <c r="AQ26" s="22">
        <f>AO26/(1.03^(A26-25))</f>
        <v>19232.720250665308</v>
      </c>
      <c r="AS26" s="10">
        <v>78</v>
      </c>
      <c r="AT26" s="17">
        <f t="shared" si="18"/>
        <v>41091950.021456644</v>
      </c>
      <c r="AU26" s="32">
        <f t="shared" si="19"/>
        <v>2464715.5431651459</v>
      </c>
      <c r="AV26" s="29">
        <f t="shared" si="13"/>
        <v>205392.96193042884</v>
      </c>
      <c r="AW26" s="17">
        <f t="shared" si="14"/>
        <v>38627234.478291497</v>
      </c>
      <c r="AX26" s="17">
        <f t="shared" si="20"/>
        <v>42489957.926120646</v>
      </c>
      <c r="AY26" s="30">
        <f t="shared" si="15"/>
        <v>3.4021454419515651E-2</v>
      </c>
      <c r="AZ26" s="31">
        <f t="shared" si="16"/>
        <v>42875.840676873762</v>
      </c>
    </row>
    <row r="27" spans="1:52">
      <c r="A27" s="10">
        <v>49</v>
      </c>
      <c r="B27" s="32">
        <f t="shared" si="17"/>
        <v>64501.998874274046</v>
      </c>
      <c r="C27" s="22">
        <f t="shared" si="0"/>
        <v>9675.2998311411066</v>
      </c>
      <c r="D27" s="32">
        <f t="shared" si="1"/>
        <v>116103.59797369328</v>
      </c>
      <c r="E27" s="32">
        <f t="shared" si="2"/>
        <v>6</v>
      </c>
      <c r="F27" s="22">
        <f t="shared" si="3"/>
        <v>205684.60612987413</v>
      </c>
      <c r="J27" s="6">
        <f t="shared" si="4"/>
        <v>684023.98649128852</v>
      </c>
      <c r="K27" s="7"/>
      <c r="L27" s="7"/>
      <c r="M27" s="8">
        <f t="shared" si="25"/>
        <v>55103.597973693279</v>
      </c>
      <c r="O27" s="16">
        <f t="shared" si="6"/>
        <v>116103.59797369328</v>
      </c>
      <c r="P27" s="17">
        <f t="shared" si="7"/>
        <v>567920.38851759525</v>
      </c>
      <c r="Q27" s="7"/>
      <c r="R27" s="7"/>
      <c r="S27" s="19">
        <f t="shared" si="8"/>
        <v>37688.058277639284</v>
      </c>
      <c r="U27" s="16">
        <f t="shared" si="21"/>
        <v>116103.59797369328</v>
      </c>
      <c r="V27" s="17">
        <f t="shared" si="9"/>
        <v>451816.79054390197</v>
      </c>
      <c r="W27" s="7"/>
      <c r="X27" s="7"/>
      <c r="Y27" s="19">
        <f t="shared" si="10"/>
        <v>22681.679054390195</v>
      </c>
      <c r="Z27" s="26">
        <f>U27*1.1^E27</f>
        <v>205684.60612987413</v>
      </c>
      <c r="AB27" s="16">
        <v>100000</v>
      </c>
      <c r="AC27" s="17">
        <f t="shared" si="22"/>
        <v>351816.79054390197</v>
      </c>
      <c r="AD27" s="7">
        <f t="shared" si="24"/>
        <v>1.0791396749313722</v>
      </c>
      <c r="AE27" s="7"/>
      <c r="AF27" s="19">
        <f t="shared" si="11"/>
        <v>12681.679054390197</v>
      </c>
      <c r="AG27" s="26">
        <f t="shared" si="23"/>
        <v>119405.22965289999</v>
      </c>
      <c r="AI27" s="16">
        <f>((B27*12)-O27-U27-AB27)/12</f>
        <v>36818.065878658497</v>
      </c>
      <c r="AJ27" s="7"/>
      <c r="AK27" s="7"/>
      <c r="AL27" s="7"/>
      <c r="AM27" s="22">
        <f>AI27/(1.03^(A27-25))</f>
        <v>18112.04871248268</v>
      </c>
      <c r="AO27" s="16">
        <f t="shared" si="12"/>
        <v>40353.225788600423</v>
      </c>
      <c r="AP27" s="7"/>
      <c r="AQ27" s="22">
        <f>AO27/(1.03^(A27-25))</f>
        <v>19851.113135538053</v>
      </c>
      <c r="AS27" s="10">
        <v>79</v>
      </c>
      <c r="AT27" s="17">
        <f t="shared" si="18"/>
        <v>42489957.926120646</v>
      </c>
      <c r="AU27" s="32">
        <f t="shared" si="19"/>
        <v>2563304.1648917519</v>
      </c>
      <c r="AV27" s="29">
        <f t="shared" si="13"/>
        <v>213608.680407646</v>
      </c>
      <c r="AW27" s="17">
        <f t="shared" si="14"/>
        <v>39926653.761228897</v>
      </c>
      <c r="AX27" s="17">
        <f t="shared" si="20"/>
        <v>43919319.137351789</v>
      </c>
      <c r="AY27" s="30">
        <f t="shared" si="15"/>
        <v>3.3639977090973876E-2</v>
      </c>
      <c r="AZ27" s="31">
        <f t="shared" si="16"/>
        <v>43292.110974707488</v>
      </c>
    </row>
    <row r="28" spans="1:52">
      <c r="A28" s="10">
        <v>50</v>
      </c>
      <c r="B28" s="32">
        <f t="shared" si="17"/>
        <v>67727.098817987746</v>
      </c>
      <c r="C28" s="22">
        <f t="shared" si="0"/>
        <v>10159.064822698161</v>
      </c>
      <c r="D28" s="32">
        <f t="shared" si="1"/>
        <v>121908.77787237793</v>
      </c>
      <c r="E28" s="32">
        <f t="shared" si="2"/>
        <v>5</v>
      </c>
      <c r="F28" s="22">
        <f t="shared" si="3"/>
        <v>196335.30585124347</v>
      </c>
      <c r="J28" s="6">
        <f t="shared" si="4"/>
        <v>722725.18581585295</v>
      </c>
      <c r="K28" s="7"/>
      <c r="L28" s="7"/>
      <c r="M28" s="8">
        <f t="shared" si="25"/>
        <v>60908.777872377941</v>
      </c>
      <c r="O28" s="16">
        <f t="shared" si="6"/>
        <v>121908.77787237793</v>
      </c>
      <c r="P28" s="17">
        <f t="shared" si="7"/>
        <v>600816.40794347506</v>
      </c>
      <c r="Q28" s="7"/>
      <c r="R28" s="7"/>
      <c r="S28" s="19">
        <f t="shared" si="8"/>
        <v>42622.461191521259</v>
      </c>
      <c r="U28" s="16">
        <f t="shared" si="21"/>
        <v>121908.77787237793</v>
      </c>
      <c r="V28" s="17">
        <f t="shared" si="9"/>
        <v>478907.63007109711</v>
      </c>
      <c r="W28" s="7"/>
      <c r="X28" s="7"/>
      <c r="Y28" s="19">
        <f t="shared" si="10"/>
        <v>25390.763007109712</v>
      </c>
      <c r="Z28" s="26">
        <f>U28*1.1^E28</f>
        <v>196335.30585124347</v>
      </c>
      <c r="AB28" s="16">
        <v>100000</v>
      </c>
      <c r="AC28" s="17">
        <f t="shared" si="22"/>
        <v>378907.63007109711</v>
      </c>
      <c r="AD28" s="7">
        <f t="shared" si="24"/>
        <v>1.0770026907621812</v>
      </c>
      <c r="AE28" s="7"/>
      <c r="AF28" s="19">
        <f t="shared" si="11"/>
        <v>15390.763007109712</v>
      </c>
      <c r="AG28" s="26">
        <f t="shared" si="23"/>
        <v>115927.40742999998</v>
      </c>
      <c r="AI28" s="16">
        <f>((B28*12)-O28-U28-AB28)/12</f>
        <v>39075.635839258095</v>
      </c>
      <c r="AJ28" s="7"/>
      <c r="AK28" s="7"/>
      <c r="AL28" s="7"/>
      <c r="AM28" s="22">
        <f>AI28/(1.03^(A28-25))</f>
        <v>18662.741299270172</v>
      </c>
      <c r="AO28" s="16">
        <f t="shared" si="12"/>
        <v>42868.803744697114</v>
      </c>
      <c r="AP28" s="7"/>
      <c r="AQ28" s="22">
        <f>AO28/(1.03^(A28-25))</f>
        <v>20474.379416052434</v>
      </c>
      <c r="AS28" s="10">
        <v>80</v>
      </c>
      <c r="AT28" s="17">
        <f t="shared" si="18"/>
        <v>43919319.137351789</v>
      </c>
      <c r="AU28" s="32">
        <f t="shared" si="19"/>
        <v>2665836.3314874223</v>
      </c>
      <c r="AV28" s="29">
        <f t="shared" si="13"/>
        <v>222153.02762395187</v>
      </c>
      <c r="AW28" s="17">
        <f t="shared" si="14"/>
        <v>41253482.805864364</v>
      </c>
      <c r="AX28" s="17">
        <f t="shared" si="20"/>
        <v>45378831.0864508</v>
      </c>
      <c r="AY28" s="30">
        <f t="shared" si="15"/>
        <v>3.323166155045764E-2</v>
      </c>
      <c r="AZ28" s="31">
        <f t="shared" si="16"/>
        <v>43712.422731743485</v>
      </c>
    </row>
    <row r="29" spans="1:52">
      <c r="A29" s="10">
        <v>51</v>
      </c>
      <c r="B29" s="32">
        <f t="shared" si="17"/>
        <v>71113.453758887132</v>
      </c>
      <c r="C29" s="22">
        <f t="shared" si="0"/>
        <v>10667.018063833069</v>
      </c>
      <c r="D29" s="32">
        <f t="shared" si="1"/>
        <v>128004.21676599683</v>
      </c>
      <c r="E29" s="32">
        <f t="shared" si="2"/>
        <v>4</v>
      </c>
      <c r="F29" s="22">
        <f t="shared" si="3"/>
        <v>187410.973767096</v>
      </c>
      <c r="J29" s="6">
        <f t="shared" si="4"/>
        <v>763361.44510664558</v>
      </c>
      <c r="K29" s="7"/>
      <c r="L29" s="7"/>
      <c r="M29" s="9">
        <f t="shared" si="25"/>
        <v>67672.28902132911</v>
      </c>
      <c r="N29" s="2"/>
      <c r="O29" s="16">
        <f t="shared" si="6"/>
        <v>128004.21676599683</v>
      </c>
      <c r="P29" s="17">
        <f t="shared" si="7"/>
        <v>635357.22834064881</v>
      </c>
      <c r="Q29" s="7"/>
      <c r="R29" s="7"/>
      <c r="S29" s="19">
        <f t="shared" si="8"/>
        <v>47803.584251097316</v>
      </c>
      <c r="U29" s="16">
        <f t="shared" si="21"/>
        <v>128004.21676599683</v>
      </c>
      <c r="V29" s="17">
        <f t="shared" si="9"/>
        <v>507353.01157465199</v>
      </c>
      <c r="W29" s="7"/>
      <c r="X29" s="7"/>
      <c r="Y29" s="19">
        <f t="shared" si="10"/>
        <v>28602.9517361978</v>
      </c>
      <c r="Z29" s="26">
        <f>U29*1.1^E29</f>
        <v>187410.973767096</v>
      </c>
      <c r="AB29" s="16">
        <v>100000</v>
      </c>
      <c r="AC29" s="17">
        <f t="shared" si="22"/>
        <v>407353.01157465199</v>
      </c>
      <c r="AD29" s="7">
        <f t="shared" si="24"/>
        <v>1.0750720736297061</v>
      </c>
      <c r="AE29" s="7"/>
      <c r="AF29" s="19">
        <f t="shared" si="11"/>
        <v>18235.301157465197</v>
      </c>
      <c r="AG29" s="26">
        <f t="shared" si="23"/>
        <v>112550.88099999999</v>
      </c>
      <c r="AI29" s="16">
        <f>((B29*12)-O29-U29-AB29)/12</f>
        <v>41446.084297887668</v>
      </c>
      <c r="AJ29" s="7"/>
      <c r="AK29" s="7"/>
      <c r="AL29" s="7"/>
      <c r="AM29" s="22">
        <f>AI29/(1.03^(A29-25))</f>
        <v>19218.330761902303</v>
      </c>
      <c r="AO29" s="16">
        <f t="shared" si="12"/>
        <v>45565.833286542991</v>
      </c>
      <c r="AP29" s="7"/>
      <c r="AQ29" s="22">
        <f>AO29/(1.03^(A29-25))</f>
        <v>21128.636646311887</v>
      </c>
      <c r="AS29" s="10">
        <v>81</v>
      </c>
      <c r="AT29" s="17">
        <f t="shared" si="18"/>
        <v>45378831.0864508</v>
      </c>
      <c r="AU29" s="32">
        <f t="shared" si="19"/>
        <v>2772469.7847469193</v>
      </c>
      <c r="AV29" s="29">
        <f t="shared" si="13"/>
        <v>231039.14872890993</v>
      </c>
      <c r="AW29" s="17">
        <f t="shared" si="14"/>
        <v>42606361.301703878</v>
      </c>
      <c r="AX29" s="17">
        <f t="shared" si="20"/>
        <v>46866997.431874268</v>
      </c>
      <c r="AY29" s="30">
        <f t="shared" si="15"/>
        <v>3.2794285568713201E-2</v>
      </c>
      <c r="AZ29" s="31">
        <f t="shared" si="16"/>
        <v>44136.815185449741</v>
      </c>
    </row>
    <row r="30" spans="1:52">
      <c r="A30" s="10">
        <v>52</v>
      </c>
      <c r="B30" s="32">
        <f t="shared" si="17"/>
        <v>74669.126446831491</v>
      </c>
      <c r="C30" s="22">
        <f t="shared" si="0"/>
        <v>11200.368967024724</v>
      </c>
      <c r="D30" s="32">
        <f t="shared" si="1"/>
        <v>134404.42760429668</v>
      </c>
      <c r="E30" s="32">
        <f t="shared" si="2"/>
        <v>3</v>
      </c>
      <c r="F30" s="22">
        <f t="shared" si="3"/>
        <v>178892.29314131895</v>
      </c>
      <c r="J30" s="6">
        <f t="shared" si="4"/>
        <v>806029.51736197784</v>
      </c>
      <c r="K30" s="7"/>
      <c r="L30" s="7"/>
      <c r="M30" s="9">
        <f t="shared" si="25"/>
        <v>76205.90347239557</v>
      </c>
      <c r="N30" s="2"/>
      <c r="O30" s="16">
        <f t="shared" si="6"/>
        <v>134404.42760429668</v>
      </c>
      <c r="P30" s="17">
        <f t="shared" si="7"/>
        <v>671625.08975768113</v>
      </c>
      <c r="Q30" s="7"/>
      <c r="R30" s="7"/>
      <c r="S30" s="19">
        <f t="shared" si="8"/>
        <v>53243.763463652169</v>
      </c>
      <c r="U30" s="16">
        <f t="shared" si="21"/>
        <v>134404.42760429668</v>
      </c>
      <c r="V30" s="17">
        <f t="shared" si="9"/>
        <v>537220.66215338442</v>
      </c>
      <c r="W30" s="7"/>
      <c r="X30" s="7"/>
      <c r="Y30" s="19">
        <f t="shared" si="10"/>
        <v>33083.099323007664</v>
      </c>
      <c r="Z30" s="26">
        <f>U30*1.1^E30</f>
        <v>178892.29314131895</v>
      </c>
      <c r="AB30" s="16">
        <v>100000</v>
      </c>
      <c r="AC30" s="17">
        <f t="shared" si="22"/>
        <v>437220.66215338442</v>
      </c>
      <c r="AD30" s="7">
        <f t="shared" si="24"/>
        <v>1.0733212956086342</v>
      </c>
      <c r="AE30" s="7"/>
      <c r="AF30" s="19">
        <f t="shared" si="11"/>
        <v>21222.06621533844</v>
      </c>
      <c r="AG30" s="26">
        <f t="shared" si="23"/>
        <v>109272.7</v>
      </c>
      <c r="AI30" s="16">
        <f>((B30*12)-O30-U30-AB30)/12</f>
        <v>43935.055179448704</v>
      </c>
      <c r="AJ30" s="7"/>
      <c r="AK30" s="7"/>
      <c r="AL30" s="7"/>
      <c r="AM30" s="22">
        <f>AI30/(1.03^(A30-25))</f>
        <v>19779.081006242839</v>
      </c>
      <c r="AO30" s="16">
        <f t="shared" si="12"/>
        <v>48517.041617536801</v>
      </c>
      <c r="AP30" s="7"/>
      <c r="AQ30" s="22">
        <f>AO30/(1.03^(A30-25))</f>
        <v>21841.84115433622</v>
      </c>
      <c r="AS30" s="10">
        <v>82</v>
      </c>
      <c r="AT30" s="17">
        <f t="shared" si="18"/>
        <v>46866997.431874268</v>
      </c>
      <c r="AU30" s="32">
        <f t="shared" si="19"/>
        <v>2883368.5761367963</v>
      </c>
      <c r="AV30" s="29">
        <f t="shared" si="13"/>
        <v>240280.71467806635</v>
      </c>
      <c r="AW30" s="17">
        <f t="shared" si="14"/>
        <v>43983628.85573747</v>
      </c>
      <c r="AX30" s="17">
        <f t="shared" si="20"/>
        <v>48381991.741311222</v>
      </c>
      <c r="AY30" s="30">
        <f t="shared" si="15"/>
        <v>3.2325397240118611E-2</v>
      </c>
      <c r="AZ30" s="31">
        <f t="shared" si="16"/>
        <v>44565.327954240514</v>
      </c>
    </row>
    <row r="31" spans="1:52">
      <c r="A31" s="10">
        <v>53</v>
      </c>
      <c r="B31" s="32">
        <f t="shared" si="17"/>
        <v>78402.582769173066</v>
      </c>
      <c r="C31" s="22">
        <f t="shared" si="0"/>
        <v>11760.387415375959</v>
      </c>
      <c r="D31" s="32">
        <f t="shared" si="1"/>
        <v>141124.6489845115</v>
      </c>
      <c r="E31" s="32">
        <f t="shared" si="2"/>
        <v>2</v>
      </c>
      <c r="F31" s="22">
        <f t="shared" si="3"/>
        <v>170760.82527125895</v>
      </c>
      <c r="J31" s="6">
        <f t="shared" si="4"/>
        <v>850830.99323007674</v>
      </c>
      <c r="K31" s="7"/>
      <c r="L31" s="7"/>
      <c r="M31" s="9">
        <f t="shared" si="25"/>
        <v>85166.198646015342</v>
      </c>
      <c r="N31" s="2"/>
      <c r="O31" s="16">
        <f t="shared" si="6"/>
        <v>141124.6489845115</v>
      </c>
      <c r="P31" s="17">
        <f t="shared" si="7"/>
        <v>709706.34424556524</v>
      </c>
      <c r="Q31" s="7"/>
      <c r="R31" s="7"/>
      <c r="S31" s="19">
        <f t="shared" si="8"/>
        <v>58955.951636834783</v>
      </c>
      <c r="U31" s="16">
        <f t="shared" si="21"/>
        <v>141124.6489845115</v>
      </c>
      <c r="V31" s="17">
        <f t="shared" si="9"/>
        <v>568581.69526105374</v>
      </c>
      <c r="W31" s="7"/>
      <c r="X31" s="7"/>
      <c r="Y31" s="19">
        <f t="shared" si="10"/>
        <v>37787.25428915806</v>
      </c>
      <c r="Z31" s="26">
        <f>U31*1.1^E31</f>
        <v>170760.82527125895</v>
      </c>
      <c r="AB31" s="16">
        <v>100000</v>
      </c>
      <c r="AC31" s="17">
        <f t="shared" si="22"/>
        <v>468581.69526105374</v>
      </c>
      <c r="AD31" s="7">
        <f t="shared" si="24"/>
        <v>1.0717281588505241</v>
      </c>
      <c r="AE31" s="7"/>
      <c r="AF31" s="19">
        <f t="shared" si="11"/>
        <v>24358.169526105376</v>
      </c>
      <c r="AG31" s="26">
        <f t="shared" si="23"/>
        <v>106090</v>
      </c>
      <c r="AI31" s="16">
        <f>((B31*12)-O31-U31-AB31)/12</f>
        <v>46548.474605087809</v>
      </c>
      <c r="AJ31" s="7"/>
      <c r="AK31" s="7"/>
      <c r="AL31" s="7"/>
      <c r="AM31" s="22">
        <f>AI31/(1.03^(A31-25))</f>
        <v>20345.256145427789</v>
      </c>
      <c r="AO31" s="16">
        <f t="shared" si="12"/>
        <v>51615.81036508031</v>
      </c>
      <c r="AP31" s="7"/>
      <c r="AQ31" s="22">
        <f>AO31/(1.03^(A31-25))</f>
        <v>22560.070806629701</v>
      </c>
      <c r="AS31" s="10">
        <v>83</v>
      </c>
      <c r="AT31" s="17">
        <f t="shared" si="18"/>
        <v>48381991.741311222</v>
      </c>
      <c r="AU31" s="32">
        <f t="shared" si="19"/>
        <v>2998703.3191822683</v>
      </c>
      <c r="AV31" s="29">
        <f t="shared" si="13"/>
        <v>249891.94326518904</v>
      </c>
      <c r="AW31" s="17">
        <f t="shared" si="14"/>
        <v>45383288.422128953</v>
      </c>
      <c r="AX31" s="17">
        <f t="shared" si="20"/>
        <v>49921617.264341854</v>
      </c>
      <c r="AY31" s="30">
        <f t="shared" si="15"/>
        <v>3.1822284854718247E-2</v>
      </c>
      <c r="AZ31" s="31">
        <f t="shared" si="16"/>
        <v>44998.001041174895</v>
      </c>
    </row>
    <row r="32" spans="1:52">
      <c r="A32" s="10">
        <v>54</v>
      </c>
      <c r="B32" s="32">
        <f t="shared" si="17"/>
        <v>82322.711907631718</v>
      </c>
      <c r="C32" s="22">
        <f t="shared" si="0"/>
        <v>12348.406786144757</v>
      </c>
      <c r="D32" s="32">
        <f t="shared" si="1"/>
        <v>148180.88143373709</v>
      </c>
      <c r="E32" s="32">
        <f t="shared" si="2"/>
        <v>1</v>
      </c>
      <c r="F32" s="22">
        <f t="shared" si="3"/>
        <v>162998.96957711081</v>
      </c>
      <c r="J32" s="6">
        <f t="shared" si="4"/>
        <v>897872.54289158061</v>
      </c>
      <c r="K32" s="7"/>
      <c r="L32" s="7"/>
      <c r="M32" s="9">
        <f t="shared" si="25"/>
        <v>94574.508578316119</v>
      </c>
      <c r="N32" s="2"/>
      <c r="O32" s="16">
        <f t="shared" si="6"/>
        <v>148180.88143373709</v>
      </c>
      <c r="P32" s="17">
        <f t="shared" si="7"/>
        <v>749691.6614578435</v>
      </c>
      <c r="Q32" s="7"/>
      <c r="R32" s="7"/>
      <c r="S32" s="19">
        <f t="shared" si="8"/>
        <v>64953.749218676523</v>
      </c>
      <c r="U32" s="16">
        <f t="shared" si="21"/>
        <v>148180.88143373709</v>
      </c>
      <c r="V32" s="17">
        <f t="shared" si="9"/>
        <v>601510.78002410638</v>
      </c>
      <c r="W32" s="7"/>
      <c r="X32" s="7"/>
      <c r="Y32" s="19">
        <f t="shared" si="10"/>
        <v>42726.61700361596</v>
      </c>
      <c r="Z32" s="26">
        <f>U32*1.1^E32</f>
        <v>162998.96957711081</v>
      </c>
      <c r="AB32" s="16">
        <v>100000</v>
      </c>
      <c r="AC32" s="17">
        <f t="shared" si="22"/>
        <v>501510.78002410638</v>
      </c>
      <c r="AD32" s="7">
        <f t="shared" si="24"/>
        <v>1.0702739460292134</v>
      </c>
      <c r="AE32" s="7"/>
      <c r="AF32" s="19">
        <f t="shared" si="11"/>
        <v>27726.617003615956</v>
      </c>
      <c r="AG32" s="26">
        <f t="shared" si="23"/>
        <v>103000</v>
      </c>
      <c r="AI32" s="16">
        <f>((B32*12)-O32-U32-AB32)/12</f>
        <v>49292.565002008865</v>
      </c>
      <c r="AJ32" s="7"/>
      <c r="AK32" s="7"/>
      <c r="AL32" s="7"/>
      <c r="AM32" s="22">
        <f>AI32/(1.03^(A32-25))</f>
        <v>20917.120647106982</v>
      </c>
      <c r="AO32" s="16">
        <f t="shared" si="12"/>
        <v>54863.222633233876</v>
      </c>
      <c r="AP32" s="7"/>
      <c r="AQ32" s="22">
        <f>AO32/(1.03^(A32-25))</f>
        <v>23281.00894854376</v>
      </c>
      <c r="AS32" s="10">
        <v>84</v>
      </c>
      <c r="AT32" s="17">
        <f t="shared" si="18"/>
        <v>49921617.264341854</v>
      </c>
      <c r="AU32" s="32">
        <f t="shared" si="19"/>
        <v>3118651.4519495592</v>
      </c>
      <c r="AV32" s="29">
        <f t="shared" si="13"/>
        <v>259887.62099579661</v>
      </c>
      <c r="AW32" s="17">
        <f t="shared" si="14"/>
        <v>46802965.812392294</v>
      </c>
      <c r="AX32" s="17">
        <f t="shared" si="20"/>
        <v>51483262.393631525</v>
      </c>
      <c r="AY32" s="30">
        <f t="shared" si="15"/>
        <v>3.1281941869401891E-2</v>
      </c>
      <c r="AZ32" s="31">
        <f t="shared" si="16"/>
        <v>45434.874837691154</v>
      </c>
    </row>
    <row r="33" spans="1:52">
      <c r="A33" s="10">
        <v>55</v>
      </c>
      <c r="B33" s="32">
        <f t="shared" si="17"/>
        <v>86438.847503013312</v>
      </c>
      <c r="C33" s="22">
        <f t="shared" si="0"/>
        <v>12965.827125451997</v>
      </c>
      <c r="D33" s="32">
        <f t="shared" si="1"/>
        <v>155589.92550542398</v>
      </c>
      <c r="E33" s="32">
        <f t="shared" si="2"/>
        <v>0</v>
      </c>
      <c r="F33" s="22">
        <f t="shared" si="3"/>
        <v>155589.92550542398</v>
      </c>
      <c r="J33" s="6">
        <f t="shared" si="4"/>
        <v>947266.17003615969</v>
      </c>
      <c r="K33" s="7"/>
      <c r="L33" s="7"/>
      <c r="M33" s="9">
        <f t="shared" si="25"/>
        <v>104453.23400723195</v>
      </c>
      <c r="N33" s="2"/>
      <c r="O33" s="16">
        <f t="shared" si="6"/>
        <v>155589.92550542398</v>
      </c>
      <c r="P33" s="17">
        <f t="shared" si="7"/>
        <v>791676.24453073577</v>
      </c>
      <c r="Q33" s="7"/>
      <c r="R33" s="7"/>
      <c r="S33" s="19">
        <f t="shared" si="8"/>
        <v>73335.248906147157</v>
      </c>
      <c r="U33" s="16">
        <f t="shared" si="21"/>
        <v>155589.92550542398</v>
      </c>
      <c r="V33" s="17">
        <f t="shared" si="9"/>
        <v>636086.31902531185</v>
      </c>
      <c r="W33" s="7"/>
      <c r="X33" s="7"/>
      <c r="Y33" s="19">
        <f t="shared" si="10"/>
        <v>47912.947853796781</v>
      </c>
      <c r="Z33" s="26">
        <f>U33*1.1^E33</f>
        <v>155589.92550542398</v>
      </c>
      <c r="AB33" s="16">
        <v>100000</v>
      </c>
      <c r="AC33" s="17">
        <f t="shared" si="22"/>
        <v>536086.31902531185</v>
      </c>
      <c r="AD33" s="7">
        <f t="shared" si="24"/>
        <v>1.0689427633032007</v>
      </c>
      <c r="AE33" s="7"/>
      <c r="AF33" s="19">
        <f t="shared" si="11"/>
        <v>32912.947853796781</v>
      </c>
      <c r="AG33" s="26">
        <f t="shared" si="23"/>
        <v>100000</v>
      </c>
      <c r="AI33" s="16">
        <f>((B33*12)-O33-U33-AB33)/12</f>
        <v>52173.85991877599</v>
      </c>
      <c r="AJ33" s="7"/>
      <c r="AK33" s="7"/>
      <c r="AL33" s="7"/>
      <c r="AM33" s="22">
        <f>AI33/(1.03^(A33-25))</f>
        <v>21494.939479373377</v>
      </c>
      <c r="AO33" s="16">
        <f t="shared" si="12"/>
        <v>58135.550431562253</v>
      </c>
      <c r="AP33" s="7"/>
      <c r="AQ33" s="22">
        <f>AO33/(1.03^(A33-25))</f>
        <v>23951.077034972917</v>
      </c>
      <c r="AS33" s="10">
        <v>85</v>
      </c>
      <c r="AT33" s="17">
        <f t="shared" si="18"/>
        <v>51483262.393631525</v>
      </c>
      <c r="AU33" s="32">
        <f t="shared" si="19"/>
        <v>3243397.5100275418</v>
      </c>
      <c r="AV33" s="29">
        <f t="shared" si="13"/>
        <v>270283.12583562848</v>
      </c>
      <c r="AW33" s="17">
        <f t="shared" si="14"/>
        <v>48239864.883603983</v>
      </c>
      <c r="AX33" s="17">
        <f t="shared" si="20"/>
        <v>53063851.371964388</v>
      </c>
      <c r="AY33" s="30">
        <f t="shared" si="15"/>
        <v>3.0701026019834769E-2</v>
      </c>
      <c r="AZ33" s="31">
        <f t="shared" si="16"/>
        <v>45875.990127377481</v>
      </c>
    </row>
    <row r="34" spans="1:52">
      <c r="A34" s="10"/>
      <c r="B34" s="7"/>
      <c r="C34" s="11"/>
      <c r="D34" s="7"/>
      <c r="E34" s="7"/>
      <c r="F34" s="11"/>
      <c r="J34" s="10"/>
      <c r="K34" s="7"/>
      <c r="L34" s="7"/>
      <c r="M34" s="11"/>
      <c r="O34" s="10"/>
      <c r="P34" s="7"/>
      <c r="Q34" s="7"/>
      <c r="R34" s="7"/>
      <c r="S34" s="20"/>
      <c r="U34" s="10"/>
      <c r="V34" s="7"/>
      <c r="W34" s="7"/>
      <c r="X34" s="7"/>
      <c r="Y34" s="20"/>
      <c r="Z34" s="17"/>
      <c r="AB34" s="10"/>
      <c r="AC34" s="7"/>
      <c r="AD34" s="7"/>
      <c r="AE34" s="7"/>
      <c r="AF34" s="11"/>
      <c r="AG34" s="7"/>
      <c r="AI34" s="10"/>
      <c r="AJ34" s="7"/>
      <c r="AK34" s="7"/>
      <c r="AL34" s="7"/>
      <c r="AM34" s="11"/>
      <c r="AO34" s="10"/>
      <c r="AP34" s="7"/>
      <c r="AQ34" s="11"/>
      <c r="AS34" s="10"/>
      <c r="AT34" s="7"/>
      <c r="AU34" s="7"/>
      <c r="AV34" s="7"/>
      <c r="AW34" s="7"/>
      <c r="AX34" s="7"/>
      <c r="AY34" s="7"/>
      <c r="AZ34" s="11"/>
    </row>
    <row r="35" spans="1:52">
      <c r="A35" s="10"/>
      <c r="B35" s="7"/>
      <c r="C35" s="11"/>
      <c r="D35" s="7"/>
      <c r="E35" s="7" t="s">
        <v>6</v>
      </c>
      <c r="F35" s="33">
        <f>SUM(F3:F34)</f>
        <v>10552538.161344146</v>
      </c>
      <c r="J35" s="10" t="s">
        <v>31</v>
      </c>
      <c r="K35" s="7"/>
      <c r="L35" s="7"/>
      <c r="M35" s="12">
        <f>SUM(M3:M34)</f>
        <v>920253.7117284846</v>
      </c>
      <c r="O35" s="10"/>
      <c r="P35" s="7" t="s">
        <v>31</v>
      </c>
      <c r="Q35" s="7"/>
      <c r="R35" s="7"/>
      <c r="S35" s="21">
        <f>SUM(S3:S34)</f>
        <v>609741.47434868466</v>
      </c>
      <c r="U35" s="10"/>
      <c r="V35" s="7" t="s">
        <v>31</v>
      </c>
      <c r="W35" s="7"/>
      <c r="X35" s="7"/>
      <c r="Y35" s="21">
        <f>SUM(Y3:Y34)</f>
        <v>360294.34753841494</v>
      </c>
      <c r="Z35" s="27">
        <f>SUM(Z7:Z34)</f>
        <v>7323528.7758540008</v>
      </c>
      <c r="AB35" s="16"/>
      <c r="AC35" s="7"/>
      <c r="AD35" s="7"/>
      <c r="AE35" s="7"/>
      <c r="AF35" s="21">
        <f>SUM(AF3:AF34)</f>
        <v>212052.14314513415</v>
      </c>
      <c r="AG35" s="36">
        <f>SUM(AG11:AG34)</f>
        <v>2011079.6685762578</v>
      </c>
      <c r="AI35" s="10"/>
      <c r="AJ35" s="7"/>
      <c r="AK35" s="7"/>
      <c r="AL35" s="7"/>
      <c r="AM35" s="11"/>
      <c r="AO35" s="10"/>
      <c r="AP35" s="7"/>
      <c r="AQ35" s="11"/>
      <c r="AS35" s="10"/>
      <c r="AT35" s="7"/>
      <c r="AU35" s="7"/>
      <c r="AV35" s="7"/>
      <c r="AW35" s="7"/>
      <c r="AX35" s="7"/>
      <c r="AY35" s="7"/>
      <c r="AZ35" s="11"/>
    </row>
    <row r="36" spans="1:52" ht="15" thickBot="1">
      <c r="A36" s="13"/>
      <c r="B36" s="14"/>
      <c r="C36" s="15"/>
      <c r="D36" s="14"/>
      <c r="E36" s="14"/>
      <c r="F36" s="15"/>
      <c r="J36" s="13"/>
      <c r="K36" s="14"/>
      <c r="L36" s="14"/>
      <c r="M36" s="15"/>
      <c r="O36" s="13"/>
      <c r="P36" s="14"/>
      <c r="Q36" s="14"/>
      <c r="R36" s="14" t="s">
        <v>12</v>
      </c>
      <c r="S36" s="18">
        <f>M35-S35</f>
        <v>310512.23737979995</v>
      </c>
      <c r="U36" s="13"/>
      <c r="V36" s="14"/>
      <c r="W36" s="14"/>
      <c r="X36" s="14" t="s">
        <v>12</v>
      </c>
      <c r="Y36" s="18">
        <f>S35-Y35</f>
        <v>249447.12681026972</v>
      </c>
      <c r="Z36" s="24"/>
      <c r="AB36" s="13"/>
      <c r="AC36" s="14"/>
      <c r="AD36" s="14"/>
      <c r="AE36" s="14"/>
      <c r="AF36" s="18">
        <f>Y35-AF35</f>
        <v>148242.20439328079</v>
      </c>
      <c r="AG36" s="24"/>
      <c r="AI36" s="13"/>
      <c r="AJ36" s="14"/>
      <c r="AK36" s="14"/>
      <c r="AL36" s="14"/>
      <c r="AM36" s="15"/>
      <c r="AO36" s="13"/>
      <c r="AP36" s="14"/>
      <c r="AQ36" s="15"/>
      <c r="AS36" s="13"/>
      <c r="AT36" s="14"/>
      <c r="AU36" s="14"/>
      <c r="AV36" s="14"/>
      <c r="AW36" s="14"/>
      <c r="AX36" s="14"/>
      <c r="AY36" s="14"/>
      <c r="AZ36" s="15"/>
    </row>
    <row r="37" spans="1:52">
      <c r="AB37" t="s">
        <v>38</v>
      </c>
      <c r="AF37" s="1">
        <f>SUM(AB11:AB33)</f>
        <v>1569140.8105850141</v>
      </c>
      <c r="AG37" s="35"/>
    </row>
    <row r="38" spans="1:52">
      <c r="AB38" t="s">
        <v>39</v>
      </c>
      <c r="AF38" s="37">
        <f>AG35*1.03^30</f>
        <v>4881418.2061076881</v>
      </c>
      <c r="AG38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</dc:creator>
  <cp:lastModifiedBy>JOJO</cp:lastModifiedBy>
  <dcterms:created xsi:type="dcterms:W3CDTF">2013-10-14T08:19:52Z</dcterms:created>
  <dcterms:modified xsi:type="dcterms:W3CDTF">2013-10-24T16:58:50Z</dcterms:modified>
</cp:coreProperties>
</file>